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Junho\"/>
    </mc:Choice>
  </mc:AlternateContent>
  <xr:revisionPtr revIDLastSave="0" documentId="8_{E1EE8642-095D-46C4-8618-4B8D0FC1F418}" xr6:coauthVersionLast="47" xr6:coauthVersionMax="47" xr10:uidLastSave="{00000000-0000-0000-0000-000000000000}"/>
  <bookViews>
    <workbookView xWindow="28680" yWindow="-120" windowWidth="29040" windowHeight="15840" tabRatio="953" firstSheet="1" activeTab="1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38" l="1"/>
  <c r="C23" i="38"/>
  <c r="C32" i="38"/>
  <c r="G24" i="38"/>
  <c r="G33" i="38"/>
  <c r="G42" i="38"/>
  <c r="G3" i="38"/>
  <c r="D42" i="38"/>
  <c r="D33" i="38"/>
  <c r="D24" i="38"/>
  <c r="D3" i="38"/>
  <c r="C2" i="38"/>
  <c r="C2" i="60"/>
  <c r="C2" i="9"/>
  <c r="C2" i="50"/>
  <c r="C2" i="10"/>
  <c r="C2" i="11"/>
  <c r="C2" i="12"/>
  <c r="C2" i="39"/>
  <c r="C2" i="13"/>
  <c r="C2" i="51"/>
  <c r="D3" i="61"/>
  <c r="C2" i="61"/>
  <c r="C2" i="32"/>
  <c r="C2" i="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<sst xmlns="http://schemas.openxmlformats.org/spreadsheetml/2006/main" count="124" uniqueCount="107">
  <si>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</si>
  <si>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</si>
  <si>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</si>
  <si>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</si>
  <si>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</si>
  <si>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</si>
  <si>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</si>
  <si>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</si>
  <si>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</si>
  <si>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</si>
  <si>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</si>
  <si>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</si>
  <si>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</si>
  <si>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</si>
  <si>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</si>
  <si>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</si>
  <si>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</si>
  <si>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</si>
  <si>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</si>
  <si>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</si>
  <si>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</si>
  <si>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</si>
  <si>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</si>
  <si>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</si>
  <si>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</si>
  <si>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</si>
  <si>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</si>
  <si>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</si>
  <si>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</si>
  <si>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</si>
  <si>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</si>
  <si>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</si>
  <si>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</si>
  <si>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</si>
  <si>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</si>
  <si>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</si>
  <si>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</si>
  <si>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</si>
  <si>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</si>
  <si>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</si>
  <si>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</si>
  <si>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</si>
  <si>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</si>
  <si>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</si>
  <si>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</si>
  <si>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</si>
  <si>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</si>
  <si>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</si>
  <si>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</si>
  <si>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</si>
  <si>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</si>
  <si>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</si>
  <si>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</si>
  <si>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</si>
  <si>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</si>
  <si>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</si>
  <si>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</si>
  <si>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</si>
  <si>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</si>
  <si>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</si>
  <si>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</si>
  <si>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</si>
  <si>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</si>
  <si>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</si>
  <si>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</si>
  <si>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</si>
  <si>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</si>
  <si>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</si>
  <si>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</si>
  <si>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</si>
  <si>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</si>
  <si>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</si>
  <si>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</si>
  <si>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</si>
  <si>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</si>
  <si>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</si>
  <si>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</si>
  <si>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</si>
  <si>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</si>
  <si>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</si>
  <si>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</si>
  <si>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</si>
  <si>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</si>
  <si>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</si>
  <si>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</si>
  <si>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</si>
  <si>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</si>
  <si>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</si>
  <si>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</si>
  <si>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</si>
  <si>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</si>
  <si>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</si>
  <si>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</si>
  <si>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</si>
  <si>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</si>
  <si>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</si>
  <si>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</si>
  <si>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</si>
  <si>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</si>
  <si>
    <t>Direção Regional de Turismo</t>
  </si>
  <si>
    <t>Direção Regional dos Assuntos Sociais</t>
  </si>
  <si>
    <t>Instituto do Vinho, do Bordado e do Artesanato da Madeira</t>
  </si>
  <si>
    <t>Drpri-Gabinete do Diretor Regional</t>
  </si>
  <si>
    <t>Direção Regional de Agricultura e Desenvolvimento Rural</t>
  </si>
  <si>
    <t>Direção Regional de Equipamento Social e Conservação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</si>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</sst>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49" fontId="64" fillId="0" borderId="25" xfId="62" applyNumberFormat="1" applyFont="1" applyBorder="1" applyAlignment="1">
      <alignment horizont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T19" sqref="T19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QUADRO VII - Despesa do Governo Regional, por classificação funcional (janeiro-junho)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2022</v>
      </c>
      <c r="E3" s="331">
        <v>2023</v>
      </c>
      <c r="F3" s="332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80630.343679999962</v>
      </c>
      <c r="E5" s="34">
        <v>96079.30141</v>
      </c>
      <c r="F5" s="34">
        <v>14.42412523385827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5307.8155799999995</v>
      </c>
      <c r="E7" s="34">
        <v>5419.1936899999992</v>
      </c>
      <c r="F7" s="34">
        <v>0.81356886763290748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158018.32223999992</v>
      </c>
      <c r="E8" s="34">
        <v>118352.23653999988</v>
      </c>
      <c r="F8" s="34">
        <v>17.76790064568992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7856.3973000000015</v>
      </c>
      <c r="E9" s="34">
        <v>8116.7924899999998</v>
      </c>
      <c r="F9" s="34">
        <v>1.2185520674572139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18108.080039999986</v>
      </c>
      <c r="E10" s="34">
        <v>35473.885099999992</v>
      </c>
      <c r="F10" s="34">
        <v>5.3255982683554661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166232.49128999992</v>
      </c>
      <c r="E11" s="34">
        <v>187877.36649000001</v>
      </c>
      <c r="F11" s="34">
        <v>28.20552005571923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12536.848780000004</v>
      </c>
      <c r="E12" s="34">
        <v>14136.790470000007</v>
      </c>
      <c r="F12" s="34">
        <v>2.1223180555189911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179201.69212000002</v>
      </c>
      <c r="E13" s="34">
        <v>192092.9388</v>
      </c>
      <c r="F13" s="34">
        <v>28.838392506283238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8491.3557799999999</v>
      </c>
      <c r="E14" s="34">
        <v>8552.9039499999963</v>
      </c>
      <c r="F14" s="34">
        <v>1.284024299484767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636383.34680999978</v>
      </c>
      <c r="E17" s="145">
        <v>666101.40893999988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25304.451589999997</v>
      </c>
      <c r="E20" s="152">
        <v>16417.376259999997</v>
      </c>
      <c r="F20" s="152">
        <v>2.4646962218749517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355172.54488</v>
      </c>
      <c r="E21" s="283">
        <v>124808.87878</v>
      </c>
      <c r="F21" s="283">
        <v>18.737218853599867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QUADRO VIII - Execução orçamental por classificação cruzada orgânica e económica (janeiro-junho)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24</v>
      </c>
    </row>
    <row r="4" spans="2:18" ht="27" customHeight="1">
      <c r="C4" s="253" t="str">
        <f>+IF(Índice!$D$2=1,"Despesa corrente","Current expenditure")</f>
        <v>Despesa corrente</v>
      </c>
      <c r="D4" s="194">
        <v>6950</v>
      </c>
      <c r="E4" s="194">
        <v>1124.82221</v>
      </c>
      <c r="F4" s="194">
        <v>201961.1650200001</v>
      </c>
      <c r="G4" s="194">
        <v>19194.993480000001</v>
      </c>
      <c r="H4" s="194">
        <v>86726.438150000002</v>
      </c>
      <c r="I4" s="194">
        <v>189546.42598000003</v>
      </c>
      <c r="J4" s="194">
        <v>15006.442790000001</v>
      </c>
      <c r="K4" s="194">
        <v>10454.578969999999</v>
      </c>
      <c r="L4" s="194">
        <v>9148.8256400000009</v>
      </c>
      <c r="M4" s="194">
        <v>3348.9398600000004</v>
      </c>
      <c r="N4" s="194">
        <v>13041.381559999998</v>
      </c>
      <c r="O4" s="194">
        <v>52072.075340000003</v>
      </c>
      <c r="P4" s="194">
        <v>608576.08900000015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830.91708000000006</v>
      </c>
      <c r="F5" s="196">
        <v>159944.74786000009</v>
      </c>
      <c r="G5" s="196">
        <v>3320.1759100000008</v>
      </c>
      <c r="H5" s="196">
        <v>14594.687190000001</v>
      </c>
      <c r="I5" s="196">
        <v>2527.5683199999999</v>
      </c>
      <c r="J5" s="196">
        <v>5967.0035200000011</v>
      </c>
      <c r="K5" s="196">
        <v>2665.8870299999994</v>
      </c>
      <c r="L5" s="196">
        <v>2784.3236200000001</v>
      </c>
      <c r="M5" s="196">
        <v>2803.5624400000002</v>
      </c>
      <c r="N5" s="196">
        <v>8618.9627099999998</v>
      </c>
      <c r="O5" s="196">
        <v>7578.9176700000007</v>
      </c>
      <c r="P5" s="196">
        <v>211636.7533500001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671.73979000000008</v>
      </c>
      <c r="F6" s="198">
        <v>135811.92210000008</v>
      </c>
      <c r="G6" s="198">
        <v>2832.4139100000007</v>
      </c>
      <c r="H6" s="198">
        <v>11580.21148</v>
      </c>
      <c r="I6" s="198">
        <v>2138.7613699999997</v>
      </c>
      <c r="J6" s="198">
        <v>5080.4246300000013</v>
      </c>
      <c r="K6" s="198">
        <v>2206.0462499999994</v>
      </c>
      <c r="L6" s="198">
        <v>2388.2916800000003</v>
      </c>
      <c r="M6" s="198">
        <v>2343.0875700000001</v>
      </c>
      <c r="N6" s="198">
        <v>7237.1743500000002</v>
      </c>
      <c r="O6" s="198">
        <v>6428.2583300000015</v>
      </c>
      <c r="P6" s="198">
        <v>178718.33146000004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10.0732</v>
      </c>
      <c r="F7" s="198">
        <v>955.72975999999994</v>
      </c>
      <c r="G7" s="198">
        <v>11.557980000000001</v>
      </c>
      <c r="H7" s="198">
        <v>890.50312999999983</v>
      </c>
      <c r="I7" s="198">
        <v>6.5056300000000009</v>
      </c>
      <c r="J7" s="198">
        <v>17.392030000000002</v>
      </c>
      <c r="K7" s="198">
        <v>83.214310000000012</v>
      </c>
      <c r="L7" s="198">
        <v>4.6476499999999996</v>
      </c>
      <c r="M7" s="198">
        <v>63.232559999999999</v>
      </c>
      <c r="N7" s="198">
        <v>117.28619</v>
      </c>
      <c r="O7" s="198">
        <v>57.550779999999996</v>
      </c>
      <c r="P7" s="198">
        <v>2217.6932200000001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149.10408999999996</v>
      </c>
      <c r="F8" s="198">
        <v>23177.096000000009</v>
      </c>
      <c r="G8" s="198">
        <v>476.20402000000007</v>
      </c>
      <c r="H8" s="198">
        <v>2123.9725800000006</v>
      </c>
      <c r="I8" s="198">
        <v>382.30132000000003</v>
      </c>
      <c r="J8" s="198">
        <v>869.18686000000002</v>
      </c>
      <c r="K8" s="198">
        <v>376.6264700000001</v>
      </c>
      <c r="L8" s="198">
        <v>391.38428999999996</v>
      </c>
      <c r="M8" s="198">
        <v>397.24231000000003</v>
      </c>
      <c r="N8" s="198">
        <v>1264.5021700000002</v>
      </c>
      <c r="O8" s="198">
        <v>1093.1085599999999</v>
      </c>
      <c r="P8" s="198">
        <v>30700.728670000011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293.17313000000001</v>
      </c>
      <c r="F9" s="196">
        <v>8095.2321699999939</v>
      </c>
      <c r="G9" s="196">
        <v>832.99290999999994</v>
      </c>
      <c r="H9" s="196">
        <v>17559.418299999998</v>
      </c>
      <c r="I9" s="196">
        <v>451.81324000000006</v>
      </c>
      <c r="J9" s="196">
        <v>4418.2885100000003</v>
      </c>
      <c r="K9" s="196">
        <v>226.55557999999999</v>
      </c>
      <c r="L9" s="196">
        <v>415.09093000000007</v>
      </c>
      <c r="M9" s="196">
        <v>436.4441599999999</v>
      </c>
      <c r="N9" s="196">
        <v>1581.53927</v>
      </c>
      <c r="O9" s="196">
        <v>41671.983990000001</v>
      </c>
      <c r="P9" s="196">
        <v>75982.532189999998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68.442949999999996</v>
      </c>
      <c r="F10" s="198">
        <v>4498.4099999999989</v>
      </c>
      <c r="G10" s="198">
        <v>75.784320000000008</v>
      </c>
      <c r="H10" s="198">
        <v>245.52942000000004</v>
      </c>
      <c r="I10" s="198">
        <v>87.387750000000011</v>
      </c>
      <c r="J10" s="198">
        <v>1518.7737300000003</v>
      </c>
      <c r="K10" s="198">
        <v>5.2989800000000002</v>
      </c>
      <c r="L10" s="198">
        <v>11.671239999999999</v>
      </c>
      <c r="M10" s="198">
        <v>26.040760000000002</v>
      </c>
      <c r="N10" s="198">
        <v>326.89961</v>
      </c>
      <c r="O10" s="198">
        <v>622.15351000000021</v>
      </c>
      <c r="P10" s="198">
        <v>7486.3922699999985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224.73018000000002</v>
      </c>
      <c r="F11" s="198">
        <v>3596.8221699999949</v>
      </c>
      <c r="G11" s="198">
        <v>757.20858999999996</v>
      </c>
      <c r="H11" s="198">
        <v>17313.888879999999</v>
      </c>
      <c r="I11" s="198">
        <v>364.42549000000002</v>
      </c>
      <c r="J11" s="198">
        <v>2899.51478</v>
      </c>
      <c r="K11" s="198">
        <v>221.25659999999999</v>
      </c>
      <c r="L11" s="198">
        <v>403.41969000000006</v>
      </c>
      <c r="M11" s="198">
        <v>410.40339999999992</v>
      </c>
      <c r="N11" s="198">
        <v>1254.63966</v>
      </c>
      <c r="O11" s="198">
        <v>41049.830479999997</v>
      </c>
      <c r="P11" s="198">
        <v>68496.139919999987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8.6314000000000011</v>
      </c>
      <c r="G12" s="198">
        <v>0</v>
      </c>
      <c r="H12" s="198">
        <v>51824.453700000005</v>
      </c>
      <c r="I12" s="198">
        <v>1.549E-2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51833.100590000002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6950</v>
      </c>
      <c r="E13" s="196">
        <v>0.73199999999999998</v>
      </c>
      <c r="F13" s="196">
        <v>33891.277979999992</v>
      </c>
      <c r="G13" s="196">
        <v>5134.4552000000003</v>
      </c>
      <c r="H13" s="196">
        <v>2446.0340800000004</v>
      </c>
      <c r="I13" s="196">
        <v>186563.87319000004</v>
      </c>
      <c r="J13" s="196">
        <v>4618.3451799999993</v>
      </c>
      <c r="K13" s="196">
        <v>7562.1363599999995</v>
      </c>
      <c r="L13" s="196">
        <v>4145.6783799999994</v>
      </c>
      <c r="M13" s="196">
        <v>73.74982</v>
      </c>
      <c r="N13" s="196">
        <v>2831.5830299999998</v>
      </c>
      <c r="O13" s="196">
        <v>2783.2075399999999</v>
      </c>
      <c r="P13" s="196">
        <v>257001.07276000004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6950</v>
      </c>
      <c r="E14" s="200">
        <v>0</v>
      </c>
      <c r="F14" s="200">
        <v>8657.24748</v>
      </c>
      <c r="G14" s="200">
        <v>4701.1975200000006</v>
      </c>
      <c r="H14" s="200">
        <v>2364.8832000000002</v>
      </c>
      <c r="I14" s="200">
        <v>185397.33124000003</v>
      </c>
      <c r="J14" s="200">
        <v>0</v>
      </c>
      <c r="K14" s="200">
        <v>2911.1257999999998</v>
      </c>
      <c r="L14" s="200">
        <v>4143.8100699999995</v>
      </c>
      <c r="M14" s="200">
        <v>0</v>
      </c>
      <c r="N14" s="200">
        <v>2236.22426</v>
      </c>
      <c r="O14" s="200">
        <v>2769.1233999999999</v>
      </c>
      <c r="P14" s="200">
        <v>220130.94297000003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6950</v>
      </c>
      <c r="E16" s="198">
        <v>0</v>
      </c>
      <c r="F16" s="198">
        <v>8657.24748</v>
      </c>
      <c r="G16" s="198">
        <v>4701.1975200000006</v>
      </c>
      <c r="H16" s="198">
        <v>2364.8832000000002</v>
      </c>
      <c r="I16" s="198">
        <v>185397.33124000003</v>
      </c>
      <c r="J16" s="198">
        <v>0</v>
      </c>
      <c r="K16" s="198">
        <v>2911.1257999999998</v>
      </c>
      <c r="L16" s="198">
        <v>4143.8100699999995</v>
      </c>
      <c r="M16" s="198">
        <v>0</v>
      </c>
      <c r="N16" s="198">
        <v>2236.22426</v>
      </c>
      <c r="O16" s="198">
        <v>2769.1233999999999</v>
      </c>
      <c r="P16" s="198">
        <v>220130.94297000003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0.73199999999999998</v>
      </c>
      <c r="F19" s="200">
        <v>25234.030499999993</v>
      </c>
      <c r="G19" s="200">
        <v>433.25767999999999</v>
      </c>
      <c r="H19" s="200">
        <v>81.150880000000001</v>
      </c>
      <c r="I19" s="200">
        <v>1166.54195</v>
      </c>
      <c r="J19" s="200">
        <v>4618.3451799999993</v>
      </c>
      <c r="K19" s="200">
        <v>4651.0105599999997</v>
      </c>
      <c r="L19" s="200">
        <v>1.8683099999999999</v>
      </c>
      <c r="M19" s="200">
        <v>73.74982</v>
      </c>
      <c r="N19" s="200">
        <v>595.35877000000005</v>
      </c>
      <c r="O19" s="200">
        <v>14.08414</v>
      </c>
      <c r="P19" s="200">
        <v>36870.129789999984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8931.8473999999969</v>
      </c>
      <c r="G20" s="198">
        <v>0</v>
      </c>
      <c r="H20" s="198">
        <v>0</v>
      </c>
      <c r="I20" s="198">
        <v>0</v>
      </c>
      <c r="J20" s="198">
        <v>9.75</v>
      </c>
      <c r="K20" s="198">
        <v>0</v>
      </c>
      <c r="L20" s="198">
        <v>0</v>
      </c>
      <c r="M20" s="198">
        <v>0</v>
      </c>
      <c r="N20" s="198">
        <v>275</v>
      </c>
      <c r="O20" s="198">
        <v>0.25</v>
      </c>
      <c r="P20" s="198">
        <v>9216.8473999999969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13313.770999999999</v>
      </c>
      <c r="G22" s="198">
        <v>421.13812999999999</v>
      </c>
      <c r="H22" s="198">
        <v>0</v>
      </c>
      <c r="I22" s="198">
        <v>1148.42283</v>
      </c>
      <c r="J22" s="198">
        <v>4433.5341399999998</v>
      </c>
      <c r="K22" s="198">
        <v>4185.1337899999999</v>
      </c>
      <c r="L22" s="198">
        <v>0</v>
      </c>
      <c r="M22" s="198">
        <v>60</v>
      </c>
      <c r="N22" s="198">
        <v>303.25</v>
      </c>
      <c r="O22" s="198">
        <v>0</v>
      </c>
      <c r="P22" s="198">
        <v>23865.249889999999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2988.4120999999996</v>
      </c>
      <c r="G23" s="198">
        <v>12.11955</v>
      </c>
      <c r="H23" s="198">
        <v>62.093880000000006</v>
      </c>
      <c r="I23" s="198">
        <v>18.119119999999999</v>
      </c>
      <c r="J23" s="198">
        <v>149.99603999999999</v>
      </c>
      <c r="K23" s="198">
        <v>465.87677000000002</v>
      </c>
      <c r="L23" s="198">
        <v>1.8683099999999999</v>
      </c>
      <c r="M23" s="198">
        <v>13.74982</v>
      </c>
      <c r="N23" s="198">
        <v>17.10877</v>
      </c>
      <c r="O23" s="198">
        <v>13.83414</v>
      </c>
      <c r="P23" s="198">
        <v>3743.1784999999986</v>
      </c>
    </row>
    <row r="24" spans="2:16" hidden="1">
      <c r="B24" s="195"/>
      <c r="C24" s="187">
        <v>0</v>
      </c>
      <c r="D24" s="198">
        <v>0</v>
      </c>
      <c r="E24" s="198">
        <v>0.73199999999999998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44.853999999999999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9905.8048900000013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18.642599999999998</v>
      </c>
      <c r="N25" s="198">
        <v>0</v>
      </c>
      <c r="O25" s="198">
        <v>0</v>
      </c>
      <c r="P25" s="198">
        <v>11718.367490000001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21.275610000000004</v>
      </c>
      <c r="G26" s="198">
        <v>1.56457</v>
      </c>
      <c r="H26" s="198">
        <v>301.84487999999999</v>
      </c>
      <c r="I26" s="198">
        <v>3.1557399999999998</v>
      </c>
      <c r="J26" s="198">
        <v>2.80558</v>
      </c>
      <c r="K26" s="198">
        <v>0</v>
      </c>
      <c r="L26" s="198">
        <v>9.8127099999999992</v>
      </c>
      <c r="M26" s="198">
        <v>16.540839999999999</v>
      </c>
      <c r="N26" s="198">
        <v>9.2965500000000016</v>
      </c>
      <c r="O26" s="198">
        <v>37.966140000000003</v>
      </c>
      <c r="P26" s="198">
        <v>404.26262000000003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5.2246800000000002</v>
      </c>
      <c r="F27" s="32">
        <v>1723.2940400000002</v>
      </c>
      <c r="G27" s="32">
        <v>11048.800809999999</v>
      </c>
      <c r="H27" s="32">
        <v>4597.9480800000001</v>
      </c>
      <c r="I27" s="32">
        <v>235.23483000000002</v>
      </c>
      <c r="J27" s="32">
        <v>1474.6089200000001</v>
      </c>
      <c r="K27" s="32">
        <v>173.43108999999998</v>
      </c>
      <c r="L27" s="32">
        <v>475.97273000000001</v>
      </c>
      <c r="M27" s="32">
        <v>220.34323000000001</v>
      </c>
      <c r="N27" s="32">
        <v>3225.9306299999998</v>
      </c>
      <c r="O27" s="32">
        <v>34274.530899999983</v>
      </c>
      <c r="P27" s="32">
        <v>57525.319939999979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5.2246800000000002</v>
      </c>
      <c r="F28" s="198">
        <v>449.30928000000006</v>
      </c>
      <c r="G28" s="198">
        <v>21.210830000000001</v>
      </c>
      <c r="H28" s="198">
        <v>2453.5186899999994</v>
      </c>
      <c r="I28" s="198">
        <v>6.5211600000000001</v>
      </c>
      <c r="J28" s="198">
        <v>1205.8701700000001</v>
      </c>
      <c r="K28" s="198">
        <v>4.4700100000000003</v>
      </c>
      <c r="L28" s="198">
        <v>193.20873</v>
      </c>
      <c r="M28" s="198">
        <v>10.943479999999999</v>
      </c>
      <c r="N28" s="198">
        <v>271.91955000000002</v>
      </c>
      <c r="O28" s="198">
        <v>30804.342359999984</v>
      </c>
      <c r="P28" s="198">
        <v>35426.538939999984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1273.9847600000003</v>
      </c>
      <c r="G29" s="196">
        <v>11027.589979999999</v>
      </c>
      <c r="H29" s="196">
        <v>2144.4293900000002</v>
      </c>
      <c r="I29" s="196">
        <v>228.71367000000001</v>
      </c>
      <c r="J29" s="196">
        <v>268.73874999999998</v>
      </c>
      <c r="K29" s="196">
        <v>168.96107999999998</v>
      </c>
      <c r="L29" s="196">
        <v>282.76400000000001</v>
      </c>
      <c r="M29" s="196">
        <v>209.39975000000001</v>
      </c>
      <c r="N29" s="196">
        <v>2954.0110799999998</v>
      </c>
      <c r="O29" s="196">
        <v>3470.1885400000001</v>
      </c>
      <c r="P29" s="196">
        <v>22098.780999999999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1183.6003200000002</v>
      </c>
      <c r="G30" s="200">
        <v>11027.589979999999</v>
      </c>
      <c r="H30" s="200">
        <v>2144.4293900000002</v>
      </c>
      <c r="I30" s="200">
        <v>228.71367000000001</v>
      </c>
      <c r="J30" s="200">
        <v>0</v>
      </c>
      <c r="K30" s="200">
        <v>0</v>
      </c>
      <c r="L30" s="200">
        <v>5.9672200000000002</v>
      </c>
      <c r="M30" s="200">
        <v>209.39975000000001</v>
      </c>
      <c r="N30" s="200">
        <v>2954.0110799999998</v>
      </c>
      <c r="O30" s="200">
        <v>3470.1885400000001</v>
      </c>
      <c r="P30" s="200">
        <v>21293.899949999999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209.39975000000001</v>
      </c>
      <c r="N31" s="198">
        <v>2914.7745599999998</v>
      </c>
      <c r="O31" s="198">
        <v>0</v>
      </c>
      <c r="P31" s="198">
        <v>3124.1743099999999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1183.6003200000002</v>
      </c>
      <c r="G32" s="198">
        <v>11027.589979999999</v>
      </c>
      <c r="H32" s="198">
        <v>1405.41894</v>
      </c>
      <c r="I32" s="198">
        <v>228.71367000000001</v>
      </c>
      <c r="J32" s="198">
        <v>0</v>
      </c>
      <c r="K32" s="198">
        <v>0</v>
      </c>
      <c r="L32" s="198">
        <v>5.9672200000000002</v>
      </c>
      <c r="M32" s="198">
        <v>0</v>
      </c>
      <c r="N32" s="198">
        <v>39.236519999999999</v>
      </c>
      <c r="O32" s="198">
        <v>3470.1885400000001</v>
      </c>
      <c r="P32" s="198">
        <v>17430.715189999999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90.384439999999998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168.96107999999998</v>
      </c>
      <c r="L35" s="200">
        <v>276.79678000000001</v>
      </c>
      <c r="M35" s="200">
        <v>0</v>
      </c>
      <c r="N35" s="200">
        <v>0</v>
      </c>
      <c r="O35" s="200">
        <v>0</v>
      </c>
      <c r="P35" s="200">
        <v>804.88104999999996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7020</v>
      </c>
      <c r="E38" s="204">
        <v>1130.0468900000001</v>
      </c>
      <c r="F38" s="204">
        <v>203684.45906000011</v>
      </c>
      <c r="G38" s="204">
        <v>30243.794289999998</v>
      </c>
      <c r="H38" s="204">
        <v>91324.386230000004</v>
      </c>
      <c r="I38" s="204">
        <v>189781.66081000003</v>
      </c>
      <c r="J38" s="204">
        <v>16481.05171</v>
      </c>
      <c r="K38" s="204">
        <v>10628.010059999999</v>
      </c>
      <c r="L38" s="204">
        <v>9624.7983700000004</v>
      </c>
      <c r="M38" s="204">
        <v>3569.2830900000004</v>
      </c>
      <c r="N38" s="204">
        <v>16267.312189999997</v>
      </c>
      <c r="O38" s="204">
        <v>86346.606239999994</v>
      </c>
      <c r="P38" s="204">
        <v>666101.40894000011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7532.6275400000004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5093.51217</v>
      </c>
      <c r="P40" s="208">
        <v>16417.376259999997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124808.87878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124808.87878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128979.22038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Nota: Estrutura orgânica aprovada pelo Decreto Legislativo Regional n.º 18/2020/M, de 31 de janeiro, em vigor ao abrigo do n.º 1 do artigo 19.º do Decreto Regulamentar Regional n.º 9/2022/M, de 27 de janeiro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Fonte: Secretaria Regional das Finanças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QUADRO IX - Saldo Global do Subsetor - EPR (janeiro-junho)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-4187.004099999991</v>
      </c>
      <c r="E5" s="82">
        <v>140.61849999977858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(janeiro-junho)","TABLE X - ASFs and RPEs budget execution (january-june)")</f>
        <v>QUADRO X - Execução orçamental dos Serviços e Fundos Autónomos e EPR (janeiro-junho)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12334.367889999994</v>
      </c>
      <c r="E4" s="98">
        <v>140.61849999977858</v>
      </c>
      <c r="F4" s="98">
        <v>12474.986389999773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257013.28080999994</v>
      </c>
      <c r="E7" s="74">
        <v>179771.36370000022</v>
      </c>
      <c r="F7" s="74">
        <v>436784.64451000019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12470.170539999994</v>
      </c>
      <c r="E8" s="74">
        <v>4142.4546599997793</v>
      </c>
      <c r="F8" s="74">
        <v>16612.625199999773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9770.0057500000112</v>
      </c>
      <c r="E9" s="74">
        <v>278.51614999977755</v>
      </c>
      <c r="F9" s="74">
        <v>10048.521899999818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2564.3621400000011</v>
      </c>
      <c r="E10" s="74">
        <v>-137.89764999998806</v>
      </c>
      <c r="F10" s="74">
        <v>2426.464490000013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(janeiro-junho)","TABLE XI - ASFs and RPEs budget execution (january-june)")</f>
        <v>QUADRO XI - Execução orçamental dos Serviços e Fundos Autónomos e EPR (janeiro-junho)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251863.61177999995</v>
      </c>
      <c r="E4" s="108">
        <v>171219.56390000001</v>
      </c>
      <c r="F4" s="108">
        <v>423083.17567999999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2057.5621300000003</v>
      </c>
      <c r="E8" s="74">
        <v>4744.8951999999999</v>
      </c>
      <c r="F8" s="74">
        <v>6802.4573300000002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247352.83455999993</v>
      </c>
      <c r="E9" s="74">
        <v>150455.64390999998</v>
      </c>
      <c r="F9" s="74">
        <v>397808.47846999991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17780.84894</v>
      </c>
      <c r="E10" s="74">
        <v>1676.6771300000003</v>
      </c>
      <c r="F10" s="74">
        <v>19457.52607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228700.37935999993</v>
      </c>
      <c r="E11" s="74">
        <v>148138.00238999998</v>
      </c>
      <c r="F11" s="74">
        <v>376838.38174999994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1961.39167</v>
      </c>
      <c r="E12" s="74">
        <v>8379.0627499999991</v>
      </c>
      <c r="F12" s="74">
        <v>10340.454419999998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491.82342</v>
      </c>
      <c r="E13" s="74">
        <v>7639.9620400000003</v>
      </c>
      <c r="F13" s="74">
        <v>8131.7854600000001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17619.839569999996</v>
      </c>
      <c r="E14" s="83">
        <v>12694.254460000006</v>
      </c>
      <c r="F14" s="83">
        <v>30314.09403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34.570140000000002</v>
      </c>
      <c r="F15" s="34">
        <v>34.570140000000002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17587.966869999997</v>
      </c>
      <c r="E16" s="34">
        <v>12630.280960000006</v>
      </c>
      <c r="F16" s="74">
        <v>30218.24783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5819.8313800000005</v>
      </c>
      <c r="E17" s="34">
        <v>7866.7335700000012</v>
      </c>
      <c r="F17" s="74">
        <v>13686.564950000002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11768.135489999997</v>
      </c>
      <c r="E18" s="74">
        <v>4763.5473900000043</v>
      </c>
      <c r="F18" s="74">
        <v>16531.68288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14.68028</v>
      </c>
      <c r="F19" s="74">
        <v>14.68028</v>
      </c>
    </row>
    <row r="20" spans="2:6" ht="11.25" customHeight="1">
      <c r="C20" s="110" t="str">
        <f>+IF(Índice!$D$2=1,"Receita efetiva","Effective revenue")</f>
        <v>Receita efetiva</v>
      </c>
      <c r="D20" s="83">
        <v>269483.45134999993</v>
      </c>
      <c r="E20" s="83">
        <v>183913.81836</v>
      </c>
      <c r="F20" s="83">
        <v>453397.26970999991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242093.60602999994</v>
      </c>
      <c r="E22" s="83">
        <v>170941.04775000023</v>
      </c>
      <c r="F22" s="83">
        <v>413034.65378000017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25091.412690000016</v>
      </c>
      <c r="E23" s="74">
        <v>122774.92159000017</v>
      </c>
      <c r="F23" s="74">
        <v>147866.33428000018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54817.291369999984</v>
      </c>
      <c r="E24" s="74">
        <v>36409.762850000072</v>
      </c>
      <c r="F24" s="74">
        <v>91227.054220000049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135.80265000000003</v>
      </c>
      <c r="E25" s="74">
        <v>4001.8361600000003</v>
      </c>
      <c r="F25" s="74">
        <v>4137.6388100000004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159402.13683999993</v>
      </c>
      <c r="E26" s="74">
        <v>6514.8666400000066</v>
      </c>
      <c r="F26" s="74">
        <v>165917.00347999993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881.32807000000003</v>
      </c>
      <c r="E27" s="74">
        <v>0</v>
      </c>
      <c r="F27" s="59">
        <v>881.32807000000003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158520.80876999995</v>
      </c>
      <c r="E28" s="74">
        <v>6514.8666400000066</v>
      </c>
      <c r="F28" s="59">
        <v>165035.67540999994</v>
      </c>
    </row>
    <row r="29" spans="2:6" ht="11.25" customHeight="1">
      <c r="C29" s="104" t="str">
        <f>+IF(Índice!$D$2=1,"Subsídios","Subsidies")</f>
        <v>Subsídios</v>
      </c>
      <c r="D29" s="74">
        <v>2567.9358199999997</v>
      </c>
      <c r="E29" s="74">
        <v>0.80500000000000005</v>
      </c>
      <c r="F29" s="74">
        <v>2568.7408199999995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79.026660000000007</v>
      </c>
      <c r="E30" s="74">
        <v>1238.8555100000001</v>
      </c>
      <c r="F30" s="74">
        <v>1317.8821700000001</v>
      </c>
    </row>
    <row r="31" spans="2:6" ht="11.25" customHeight="1">
      <c r="C31" s="110" t="str">
        <f>+IF(Índice!$D$2=1,"Despesa de capital","Capital expenditure")</f>
        <v>Despesa de capital</v>
      </c>
      <c r="D31" s="83">
        <v>15055.477429999995</v>
      </c>
      <c r="E31" s="83">
        <v>12832.152109999994</v>
      </c>
      <c r="F31" s="83">
        <v>27887.629539999987</v>
      </c>
    </row>
    <row r="32" spans="2:6" ht="11.25" customHeight="1">
      <c r="C32" s="104" t="str">
        <f>+IF(Índice!$D$2=1,"Investimento","Investment")</f>
        <v>Investimento</v>
      </c>
      <c r="D32" s="74">
        <v>2016.6082499999991</v>
      </c>
      <c r="E32" s="74">
        <v>12832.152109999994</v>
      </c>
      <c r="F32" s="74">
        <v>14848.760359999993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13030.613569999996</v>
      </c>
      <c r="E33" s="74">
        <v>0</v>
      </c>
      <c r="F33" s="74">
        <v>13030.613569999996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257149.08345999994</v>
      </c>
      <c r="E36" s="83">
        <v>183773.19986000023</v>
      </c>
      <c r="F36" s="83">
        <v>440922.28332000016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3340.2118600000003</v>
      </c>
      <c r="E38" s="35">
        <v>708.70304999999996</v>
      </c>
      <c r="F38" s="35">
        <v>4048.9149100000004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10995.637199999999</v>
      </c>
      <c r="F39" s="35">
        <v>10995.637199999999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12334.367889999994</v>
      </c>
      <c r="E44" s="114">
        <v>140.61849999977858</v>
      </c>
      <c r="F44" s="114">
        <v>12474.986389999773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QUADRO XII - Execução orçamental dos Serviços e Fundos Autónomos e EPR (junho)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+IF(Índice!$D$2=1,"junho 2023","june 2023")</f>
        <v>junho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69508.083740000002</v>
      </c>
      <c r="E5" s="317">
        <v>43999.886509999982</v>
      </c>
      <c r="F5" s="317">
        <v>113507.97024999998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69508.083740000002</v>
      </c>
      <c r="E9" s="74">
        <v>43999.886509999982</v>
      </c>
      <c r="F9" s="74">
        <v>113507.97024999998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68761.308050000007</v>
      </c>
      <c r="E10" s="74">
        <v>41082.868999999984</v>
      </c>
      <c r="F10" s="74">
        <v>109844.17705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3708.3991699999965</v>
      </c>
      <c r="E11" s="83">
        <v>4815.1675700000051</v>
      </c>
      <c r="F11" s="83">
        <v>8523.566740000002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23.353960000000001</v>
      </c>
      <c r="F12" s="34">
        <v>23.353960000000001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3698.1070699999964</v>
      </c>
      <c r="E13" s="34">
        <v>4789.5160100000048</v>
      </c>
      <c r="F13" s="74">
        <v>8487.6230800000012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73216.482909999992</v>
      </c>
      <c r="E15" s="83">
        <v>48815.054079999987</v>
      </c>
      <c r="F15" s="83">
        <v>122031.53698999998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64465.859120000008</v>
      </c>
      <c r="E17" s="83">
        <v>43245.134530000301</v>
      </c>
      <c r="F17" s="83">
        <v>107710.99365000031</v>
      </c>
    </row>
    <row r="18" spans="3:6" ht="11.25" customHeight="1">
      <c r="C18" s="104" t="str">
        <f>+IF(Índice!$D$2=1,"Consumo público","Public consumption")</f>
        <v>Consumo público</v>
      </c>
      <c r="D18" s="74">
        <v>22479.912570000077</v>
      </c>
      <c r="E18" s="74">
        <v>40253.429420000291</v>
      </c>
      <c r="F18" s="74">
        <v>62733.341990000365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6480.6126200000126</v>
      </c>
      <c r="E19" s="74">
        <v>32615.846630000189</v>
      </c>
      <c r="F19" s="74">
        <v>39096.459250000204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15999.299950000064</v>
      </c>
      <c r="E20" s="74">
        <v>7637.5827900000968</v>
      </c>
      <c r="F20" s="74">
        <v>23636.882740000161</v>
      </c>
    </row>
    <row r="21" spans="3:6" ht="11.25" customHeight="1">
      <c r="C21" s="104" t="str">
        <f>+IF(Índice!$D$2=1,"Subsídios","Subsidies")</f>
        <v>Subsídios</v>
      </c>
      <c r="D21" s="74">
        <v>435.00074999999953</v>
      </c>
      <c r="E21" s="74">
        <v>0</v>
      </c>
      <c r="F21" s="74">
        <v>435.00074999999953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2.2099300000000222</v>
      </c>
      <c r="E22" s="74">
        <v>1918.6032800000003</v>
      </c>
      <c r="F22" s="59">
        <v>1920.8132100000003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41548.735869999931</v>
      </c>
      <c r="E23" s="74">
        <v>1073.1018300000057</v>
      </c>
      <c r="F23" s="59">
        <v>42621.837699999938</v>
      </c>
    </row>
    <row r="24" spans="3:6" ht="11.25" customHeight="1">
      <c r="C24" s="110" t="str">
        <f>+IF(Índice!$D$2=1,"Despesa de capital","Capital expenditure")</f>
        <v>Despesa de capital</v>
      </c>
      <c r="D24" s="83">
        <v>640.54544999999894</v>
      </c>
      <c r="E24" s="83">
        <v>4915.7439599999898</v>
      </c>
      <c r="F24" s="83">
        <v>5556.2894099999885</v>
      </c>
    </row>
    <row r="25" spans="3:6" ht="11.25" customHeight="1">
      <c r="C25" s="104" t="str">
        <f>+IF(Índice!$D$2=1,"Investimento","Investment")</f>
        <v>Investimento</v>
      </c>
      <c r="D25" s="74">
        <v>227.24599999999975</v>
      </c>
      <c r="E25" s="74">
        <v>4915.7439599999898</v>
      </c>
      <c r="F25" s="74">
        <v>5142.9899599999899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413.29944999999924</v>
      </c>
      <c r="E26" s="74">
        <v>0</v>
      </c>
      <c r="F26" s="74">
        <v>413.29944999999924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65106.404570000006</v>
      </c>
      <c r="E29" s="83">
        <v>48160.878490000294</v>
      </c>
      <c r="F29" s="83">
        <v>113267.28306000031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8110.0783399999855</v>
      </c>
      <c r="E31" s="319">
        <v>654.17558999969333</v>
      </c>
      <c r="F31" s="319">
        <v>8764.2539299996788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B43" sqref="B4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2023 (valores acumulados)","Table XIII- Accounts payable of the Regional Administration, june (accumulated)")</f>
        <v>QUADRO XIII - Contas a pagar, da Administração Regional, no final de junho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26</v>
      </c>
      <c r="D3" s="337" t="str">
        <f>+IF(Índice!$D$2=1,"junho 2023","june 2023")</f>
        <v>junho 2023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134960918.56</v>
      </c>
      <c r="E6" s="162">
        <v>120914011.91000038</v>
      </c>
      <c r="F6" s="162">
        <v>22818154.66</v>
      </c>
      <c r="G6" s="91">
        <v>0.17152518834016184</v>
      </c>
      <c r="H6" s="91">
        <v>0.14167643472243707</v>
      </c>
      <c r="I6" s="116">
        <v>0.47016517698938487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9845629.950000003</v>
      </c>
      <c r="E7" s="165">
        <v>8974673.6200000029</v>
      </c>
      <c r="F7" s="165">
        <v>3900.85</v>
      </c>
      <c r="G7" s="95">
        <v>8.2935089055097269</v>
      </c>
      <c r="H7" s="95">
        <v>16.289150315913648</v>
      </c>
      <c r="I7" s="121">
        <v>-0.55839317311404213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72136596.510000005</v>
      </c>
      <c r="E8" s="165">
        <v>71312312.20000039</v>
      </c>
      <c r="F8" s="165">
        <v>21163632.149999999</v>
      </c>
      <c r="G8" s="95">
        <v>0.1176852681044267</v>
      </c>
      <c r="H8" s="95">
        <v>0.11888064311609914</v>
      </c>
      <c r="I8" s="121">
        <v>0.41170893556708266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29953428.959999993</v>
      </c>
      <c r="E9" s="165">
        <v>23597057.999999996</v>
      </c>
      <c r="F9" s="165">
        <v>391467.2300000001</v>
      </c>
      <c r="G9" s="95">
        <v>1.6945693063423231</v>
      </c>
      <c r="H9" s="95">
        <v>3.9372124723401329</v>
      </c>
      <c r="I9" s="121">
        <v>5.2016224173728753E-2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22022312.669999998</v>
      </c>
      <c r="E10" s="165">
        <v>16034103.029999999</v>
      </c>
      <c r="F10" s="165">
        <v>1259144.43</v>
      </c>
      <c r="G10" s="95">
        <v>-0.42267778077619711</v>
      </c>
      <c r="H10" s="95">
        <v>-0.56122773394026138</v>
      </c>
      <c r="I10" s="121">
        <v>7.4872514064876547</v>
      </c>
    </row>
    <row r="11" spans="2:11">
      <c r="B11" s="29"/>
      <c r="C11" s="120" t="str">
        <f>+IF(Índice!$D$2=1,"Subsídios","Subsidies")</f>
        <v>Subsídios</v>
      </c>
      <c r="D11" s="165">
        <v>853256.19000000006</v>
      </c>
      <c r="E11" s="165">
        <v>853256.19000000006</v>
      </c>
      <c r="F11" s="165">
        <v>0</v>
      </c>
      <c r="G11" s="95">
        <v>1.7085416387521453</v>
      </c>
      <c r="H11" s="95">
        <v>1.7085416387521453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149694.28</v>
      </c>
      <c r="E12" s="165">
        <v>142608.87</v>
      </c>
      <c r="F12" s="165">
        <v>10</v>
      </c>
      <c r="G12" s="95">
        <v>5.3156840417197042</v>
      </c>
      <c r="H12" s="95">
        <v>7.3323129903547493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51942312.200000003</v>
      </c>
      <c r="E13" s="163">
        <v>35353117.529999994</v>
      </c>
      <c r="F13" s="163">
        <v>209560.78</v>
      </c>
      <c r="G13" s="92">
        <v>2.731211266473843E-2</v>
      </c>
      <c r="H13" s="92">
        <v>2.9824921309365093E-2</v>
      </c>
      <c r="I13" s="117">
        <v>-0.76644729407305712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28618357.100000001</v>
      </c>
      <c r="E14" s="165">
        <v>18799277.589999996</v>
      </c>
      <c r="F14" s="165">
        <v>209560.78</v>
      </c>
      <c r="G14" s="95">
        <v>-3.995882959531627E-2</v>
      </c>
      <c r="H14" s="95">
        <v>-5.8848932779636098E-2</v>
      </c>
      <c r="I14" s="121">
        <v>-0.76644729407305712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23323955.100000001</v>
      </c>
      <c r="E15" s="165">
        <v>16553839.940000001</v>
      </c>
      <c r="F15" s="165">
        <v>0</v>
      </c>
      <c r="G15" s="95">
        <v>0.1239450628994363</v>
      </c>
      <c r="H15" s="95">
        <v>0.15321776685676047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186903230.75999999</v>
      </c>
      <c r="E17" s="164">
        <v>156267129.44000039</v>
      </c>
      <c r="F17" s="164">
        <v>23027715.439999998</v>
      </c>
      <c r="G17" s="147">
        <v>0.12753686094311756</v>
      </c>
      <c r="H17" s="147">
        <v>0.11429607492873228</v>
      </c>
      <c r="I17" s="148">
        <v>0.40258236694403848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137208591.82999998</v>
      </c>
      <c r="E19" s="164">
        <v>106694239.81</v>
      </c>
      <c r="F19" s="164">
        <v>4319184.0199999977</v>
      </c>
      <c r="G19" s="147">
        <v>0.13183917473693985</v>
      </c>
      <c r="H19" s="147">
        <v>0.11471082450265691</v>
      </c>
      <c r="I19" s="148">
        <v>0.95663841825185081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junho de 2023 (valores acumulados)","Table XIV - Accounts payable of the Regional Gov., june (accumulated)")</f>
        <v>QUADRO XIV - Contas a pagar, do Governo Regional, no final de junho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45" t="str">
        <f>+IF(Índice!$D$2=1,"março 2023","june 2023")</f>
        <v>março 2023</v>
      </c>
      <c r="E24" s="345" t="str">
        <f>+IF(Índice!$D$2="PT","janeiro 2020","January")</f>
        <v>January</v>
      </c>
      <c r="F24" s="345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51398731.099999994</v>
      </c>
      <c r="E27" s="162">
        <v>42192961.57</v>
      </c>
      <c r="F27" s="162">
        <v>1068886.74</v>
      </c>
      <c r="G27" s="91">
        <v>3.4383066798867459</v>
      </c>
      <c r="H27" s="91">
        <v>4.8600046231482841</v>
      </c>
      <c r="I27" s="116">
        <v>-4.2615770609505055E-2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39783205.439999998</v>
      </c>
      <c r="E28" s="163">
        <v>32000845.049999997</v>
      </c>
      <c r="F28" s="163">
        <v>78735</v>
      </c>
      <c r="G28" s="92">
        <v>3.7263466986585003E-2</v>
      </c>
      <c r="H28" s="172">
        <v>3.7674085217971776E-2</v>
      </c>
      <c r="I28" s="117">
        <v>123.97619047619048</v>
      </c>
    </row>
    <row r="29" spans="2:9" ht="20.100000000000001" customHeight="1">
      <c r="B29" s="29"/>
      <c r="C29" s="146" t="s">
        <v>26</v>
      </c>
      <c r="D29" s="164">
        <v>91181936.539999992</v>
      </c>
      <c r="E29" s="164">
        <v>74193806.620000005</v>
      </c>
      <c r="F29" s="164">
        <v>1147621.74</v>
      </c>
      <c r="G29" s="147">
        <v>0.82602316060803282</v>
      </c>
      <c r="H29" s="147">
        <v>0.95045798925574076</v>
      </c>
      <c r="I29" s="148">
        <v>2.7326170479972989E-2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junho de 2023 (valores acumulados)","Table XV - Accounts payable of the ASFs, june (accumulated)")</f>
        <v>QUADRO XV - Contas a pagar, dos Serviços e Fundos Autónomos, no final de junho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45" t="str">
        <f>+IF(Índice!$D$2=1,"março 2023","june 2023")</f>
        <v>março 2023</v>
      </c>
      <c r="E33" s="345" t="str">
        <f>+IF(Índice!$D$2="PT","janeiro 2020","January")</f>
        <v>January</v>
      </c>
      <c r="F33" s="345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26868527.719999995</v>
      </c>
      <c r="E36" s="162">
        <v>26298459.539999995</v>
      </c>
      <c r="F36" s="162">
        <v>3088932.29</v>
      </c>
      <c r="G36" s="91">
        <v>-0.49779281708180012</v>
      </c>
      <c r="H36" s="91">
        <v>-0.50245914484189935</v>
      </c>
      <c r="I36" s="116">
        <v>1.832958848440176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644982.24</v>
      </c>
      <c r="E37" s="163">
        <v>644982.24</v>
      </c>
      <c r="F37" s="163">
        <v>82629.990000000005</v>
      </c>
      <c r="G37" s="92">
        <v>0.43618720941876155</v>
      </c>
      <c r="H37" s="92">
        <v>0.43618720941876155</v>
      </c>
      <c r="I37" s="117">
        <v>0</v>
      </c>
    </row>
    <row r="38" spans="2:9" ht="20.100000000000001" customHeight="1">
      <c r="C38" s="146" t="s">
        <v>26</v>
      </c>
      <c r="D38" s="164">
        <v>27513509.959999993</v>
      </c>
      <c r="E38" s="164">
        <v>26943441.779999994</v>
      </c>
      <c r="F38" s="164">
        <v>3171562.2800000003</v>
      </c>
      <c r="G38" s="147">
        <v>-0.49001812797827293</v>
      </c>
      <c r="H38" s="147">
        <v>-0.49455121543574398</v>
      </c>
      <c r="I38" s="148">
        <v>1.9087414617641554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junho de 2023 (valores acumulados)","Table XVI - Accounts payable of the RPEs, june (accumulated)")</f>
        <v>QUADRO XVI - Contas a pagar, das Entidades Públicas Reclassseicadas, no final de junho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45" t="str">
        <f>+IF(Índice!$D$2=1,"março 2023","june 2023")</f>
        <v>março 2023</v>
      </c>
      <c r="E42" s="345" t="str">
        <f>+IF(Índice!$D$2="PT","janeiro 2020","January")</f>
        <v>January</v>
      </c>
      <c r="F42" s="345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56693659.740000017</v>
      </c>
      <c r="E45" s="162">
        <v>52422590.800000384</v>
      </c>
      <c r="F45" s="162">
        <v>18660335.629999999</v>
      </c>
      <c r="G45" s="91">
        <v>0.13117086583509097</v>
      </c>
      <c r="H45" s="91">
        <v>0.14329663360004563</v>
      </c>
      <c r="I45" s="116">
        <v>0.40155860006880295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11514124.52</v>
      </c>
      <c r="E46" s="163">
        <v>2707290.24</v>
      </c>
      <c r="F46" s="163">
        <v>48195.79</v>
      </c>
      <c r="G46" s="92">
        <v>-2.0764430814875667E-2</v>
      </c>
      <c r="H46" s="92">
        <v>-0.10977885199944559</v>
      </c>
      <c r="I46" s="117">
        <v>-0.94624869195584016</v>
      </c>
    </row>
    <row r="47" spans="2:9" ht="20.100000000000001" customHeight="1">
      <c r="C47" s="146" t="s">
        <v>26</v>
      </c>
      <c r="D47" s="164">
        <v>68207784.26000002</v>
      </c>
      <c r="E47" s="164">
        <v>55129881.040000387</v>
      </c>
      <c r="F47" s="164">
        <v>18708531.419999998</v>
      </c>
      <c r="G47" s="147">
        <v>0.1022994508425088</v>
      </c>
      <c r="H47" s="147">
        <v>0.12755543362805</v>
      </c>
      <c r="I47" s="148">
        <v>0.31651640797113978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7"/>
  <sheetViews>
    <sheetView showGridLines="0" topLeftCell="A32" zoomScale="85" zoomScaleNormal="85" workbookViewId="0">
      <selection activeCell="B76" sqref="B76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92</v>
      </c>
      <c r="D2" s="174"/>
      <c r="E2" s="178" t="str">
        <f>+IF(Índice!$D$2=1,"índice","Index")</f>
        <v>índice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40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102</v>
      </c>
      <c r="D11" s="170"/>
      <c r="E11" s="169"/>
    </row>
    <row r="12" spans="2:5">
      <c r="B12" s="195"/>
      <c r="C12" s="170" t="s">
        <v>54</v>
      </c>
      <c r="D12" s="170"/>
      <c r="E12" s="169"/>
    </row>
    <row r="13" spans="2:5">
      <c r="B13" s="195"/>
      <c r="C13" s="170" t="s">
        <v>47</v>
      </c>
      <c r="D13" s="170"/>
      <c r="E13" s="169"/>
    </row>
    <row r="14" spans="2:5">
      <c r="B14" s="195"/>
      <c r="C14" s="170" t="s">
        <v>73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48</v>
      </c>
      <c r="D16" s="170"/>
      <c r="E16" s="169"/>
    </row>
    <row r="17" spans="2:5">
      <c r="B17" s="195"/>
      <c r="C17" s="170" t="s">
        <v>41</v>
      </c>
      <c r="D17" s="171"/>
      <c r="E17" s="169"/>
    </row>
    <row r="18" spans="2:5">
      <c r="B18" s="195"/>
      <c r="C18" s="170" t="s">
        <v>65</v>
      </c>
      <c r="D18" s="170"/>
      <c r="E18" s="169"/>
    </row>
    <row r="19" spans="2:5">
      <c r="B19" s="195"/>
      <c r="C19" s="170" t="s">
        <v>57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55</v>
      </c>
      <c r="D21" s="170"/>
      <c r="E21" s="169"/>
    </row>
    <row r="22" spans="2:5">
      <c r="B22" s="195"/>
      <c r="C22" s="170" t="s">
        <v>56</v>
      </c>
      <c r="D22" s="170"/>
      <c r="E22" s="169"/>
    </row>
    <row r="23" spans="2:5">
      <c r="B23" s="195"/>
      <c r="C23" s="170" t="s">
        <v>33</v>
      </c>
      <c r="D23" s="170"/>
      <c r="E23" s="169"/>
    </row>
    <row r="24" spans="2:5">
      <c r="B24" s="195"/>
      <c r="C24" s="170" t="s">
        <v>49</v>
      </c>
      <c r="D24" s="170"/>
      <c r="E24" s="169"/>
    </row>
    <row r="25" spans="2:5">
      <c r="B25" s="195"/>
      <c r="C25" s="170" t="s">
        <v>50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51</v>
      </c>
      <c r="D27" s="170"/>
      <c r="E27" s="169"/>
    </row>
    <row r="28" spans="2:5">
      <c r="B28" s="195"/>
      <c r="C28" s="170" t="s">
        <v>63</v>
      </c>
      <c r="D28" s="170"/>
      <c r="E28" s="169"/>
    </row>
    <row r="29" spans="2:5">
      <c r="B29" s="55"/>
      <c r="C29" s="170" t="s">
        <v>61</v>
      </c>
      <c r="D29" s="170"/>
      <c r="E29" s="169"/>
    </row>
    <row r="30" spans="2:5">
      <c r="B30" s="55"/>
      <c r="C30" s="170" t="s">
        <v>42</v>
      </c>
      <c r="D30" s="170"/>
      <c r="E30" s="169"/>
    </row>
    <row r="31" spans="2:5">
      <c r="B31" s="55"/>
      <c r="C31" s="170" t="s">
        <v>43</v>
      </c>
      <c r="D31" s="170"/>
      <c r="E31" s="169"/>
    </row>
    <row r="32" spans="2:5">
      <c r="B32" s="55"/>
      <c r="C32" s="170" t="s">
        <v>35</v>
      </c>
      <c r="D32" s="170"/>
      <c r="E32" s="169"/>
    </row>
    <row r="33" spans="2:5">
      <c r="B33" s="55"/>
      <c r="C33" s="170" t="s">
        <v>44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62</v>
      </c>
      <c r="D35" s="170"/>
      <c r="E35" s="169"/>
    </row>
    <row r="36" spans="2:5">
      <c r="B36" s="55"/>
      <c r="C36" s="170" t="s">
        <v>74</v>
      </c>
      <c r="D36" s="170"/>
      <c r="E36" s="169"/>
    </row>
    <row r="37" spans="2:5">
      <c r="B37" s="55"/>
      <c r="C37" s="170" t="s">
        <v>64</v>
      </c>
      <c r="D37" s="170"/>
      <c r="E37" s="169"/>
    </row>
    <row r="38" spans="2:5">
      <c r="B38" s="55"/>
      <c r="C38" s="170" t="s">
        <v>89</v>
      </c>
      <c r="D38" s="170"/>
      <c r="E38" s="169"/>
    </row>
    <row r="39" spans="2:5">
      <c r="B39" s="55"/>
      <c r="C39" s="171" t="s">
        <v>32</v>
      </c>
      <c r="D39" s="170"/>
      <c r="E39" s="169"/>
    </row>
    <row r="40" spans="2:5">
      <c r="B40" s="55"/>
      <c r="C40" s="170" t="s">
        <v>53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1" t="s">
        <v>85</v>
      </c>
      <c r="D43" s="171"/>
      <c r="E43" s="169"/>
    </row>
    <row r="44" spans="2:5">
      <c r="B44" s="55"/>
      <c r="C44" s="170" t="s">
        <v>31</v>
      </c>
      <c r="D44" s="170"/>
      <c r="E44" s="169"/>
    </row>
    <row r="45" spans="2:5">
      <c r="B45" s="55"/>
      <c r="C45" s="170" t="s">
        <v>38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80</v>
      </c>
      <c r="D47" s="170"/>
      <c r="E47" s="169"/>
    </row>
    <row r="48" spans="2:5">
      <c r="B48" s="55"/>
      <c r="C48" s="170" t="s">
        <v>39</v>
      </c>
      <c r="D48" s="170"/>
      <c r="E48" s="169"/>
    </row>
    <row r="49" spans="2:5">
      <c r="B49" s="55"/>
      <c r="C49" s="170" t="s">
        <v>81</v>
      </c>
      <c r="D49" s="170"/>
      <c r="E49" s="169"/>
    </row>
    <row r="50" spans="2:5">
      <c r="B50" s="55"/>
      <c r="C50" s="171" t="s">
        <v>19</v>
      </c>
      <c r="D50" s="171"/>
      <c r="E50" s="169"/>
    </row>
    <row r="51" spans="2:5">
      <c r="B51" s="55"/>
      <c r="C51" s="170" t="s">
        <v>97</v>
      </c>
      <c r="D51" s="170"/>
      <c r="E51" s="169"/>
    </row>
    <row r="52" spans="2:5">
      <c r="B52" s="55"/>
      <c r="C52" s="170" t="s">
        <v>98</v>
      </c>
      <c r="D52" s="170"/>
      <c r="E52" s="169"/>
    </row>
    <row r="53" spans="2:5">
      <c r="B53" s="55"/>
      <c r="C53" s="170" t="s">
        <v>86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94</v>
      </c>
    </row>
    <row r="56" spans="2:5">
      <c r="B56" s="55"/>
      <c r="C56" s="170" t="s">
        <v>99</v>
      </c>
    </row>
    <row r="57" spans="2:5">
      <c r="B57" s="55"/>
      <c r="C57" s="170" t="s">
        <v>91</v>
      </c>
    </row>
    <row r="58" spans="2:5">
      <c r="B58" s="55"/>
      <c r="C58" s="170" t="s">
        <v>82</v>
      </c>
    </row>
    <row r="59" spans="2:5">
      <c r="B59" s="55"/>
      <c r="C59" s="171" t="s">
        <v>16</v>
      </c>
    </row>
    <row r="60" spans="2:5">
      <c r="B60" s="55"/>
      <c r="C60" s="170" t="s">
        <v>100</v>
      </c>
    </row>
    <row r="61" spans="2:5">
      <c r="B61" s="55"/>
      <c r="C61" s="170" t="s">
        <v>93</v>
      </c>
    </row>
    <row r="62" spans="2:5">
      <c r="B62" s="55"/>
      <c r="C62" s="171" t="s">
        <v>36</v>
      </c>
    </row>
    <row r="63" spans="2:5">
      <c r="B63" s="55"/>
      <c r="C63" s="170" t="s">
        <v>83</v>
      </c>
    </row>
    <row r="64" spans="2:5">
      <c r="B64" s="55"/>
      <c r="C64" s="170" t="s">
        <v>95</v>
      </c>
    </row>
    <row r="65" spans="2:3">
      <c r="B65" s="55"/>
      <c r="C65" s="170" t="s">
        <v>90</v>
      </c>
    </row>
    <row r="66" spans="2:3">
      <c r="B66" s="55"/>
      <c r="C66" s="171" t="s">
        <v>14</v>
      </c>
    </row>
    <row r="67" spans="2:3">
      <c r="B67" s="55"/>
      <c r="C67" s="170" t="s">
        <v>60</v>
      </c>
    </row>
    <row r="68" spans="2:3">
      <c r="B68" s="55"/>
      <c r="C68" s="170" t="s">
        <v>103</v>
      </c>
    </row>
    <row r="69" spans="2:3">
      <c r="B69" s="55"/>
      <c r="C69" s="171" t="s">
        <v>17</v>
      </c>
    </row>
    <row r="70" spans="2:3">
      <c r="B70" s="55"/>
      <c r="C70" s="170" t="s">
        <v>45</v>
      </c>
    </row>
    <row r="71" spans="2:3">
      <c r="B71" s="55"/>
      <c r="C71" s="170" t="s">
        <v>12</v>
      </c>
    </row>
    <row r="72" spans="2:3">
      <c r="B72" s="55"/>
      <c r="C72" s="170" t="s">
        <v>3</v>
      </c>
    </row>
    <row r="73" spans="2:3">
      <c r="B73" s="55"/>
      <c r="C73" s="170" t="s">
        <v>104</v>
      </c>
    </row>
    <row r="74" spans="2:3" ht="13.5" customHeight="1">
      <c r="B74" s="55"/>
      <c r="C74" s="170" t="s">
        <v>37</v>
      </c>
    </row>
    <row r="75" spans="2:3">
      <c r="B75" s="55"/>
      <c r="C75" s="275"/>
    </row>
    <row r="76" spans="2:3" ht="30.75" customHeight="1">
      <c r="B76" s="16"/>
      <c r="C76" s="321" t="s">
        <v>52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67</v>
      </c>
    </row>
    <row r="81" spans="2:3">
      <c r="B81" s="55"/>
      <c r="C81" s="170" t="s">
        <v>87</v>
      </c>
    </row>
    <row r="82" spans="2:3">
      <c r="B82" s="55"/>
      <c r="C82" s="170" t="s">
        <v>68</v>
      </c>
    </row>
    <row r="83" spans="2:3">
      <c r="B83" s="55"/>
      <c r="C83" s="170" t="s">
        <v>76</v>
      </c>
    </row>
    <row r="84" spans="2:3">
      <c r="B84" s="55"/>
      <c r="C84" s="170" t="s">
        <v>96</v>
      </c>
    </row>
    <row r="85" spans="2:3">
      <c r="B85" s="55"/>
      <c r="C85" s="171" t="s">
        <v>32</v>
      </c>
    </row>
    <row r="86" spans="2:3">
      <c r="B86" s="55"/>
      <c r="C86" s="170" t="s">
        <v>75</v>
      </c>
    </row>
    <row r="87" spans="2:3">
      <c r="B87" s="55"/>
      <c r="C87" s="170" t="s">
        <v>66</v>
      </c>
    </row>
    <row r="88" spans="2:3">
      <c r="B88" s="55"/>
      <c r="C88" s="171" t="s">
        <v>85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88</v>
      </c>
    </row>
    <row r="92" spans="2:3">
      <c r="B92" s="55"/>
      <c r="C92" s="170" t="s">
        <v>72</v>
      </c>
    </row>
    <row r="93" spans="2:3">
      <c r="B93" s="55"/>
      <c r="C93" s="171" t="s">
        <v>19</v>
      </c>
    </row>
    <row r="94" spans="2:3">
      <c r="B94" s="55"/>
      <c r="C94" s="170" t="s">
        <v>69</v>
      </c>
    </row>
    <row r="95" spans="2:3">
      <c r="B95" s="55"/>
      <c r="C95" s="171" t="s">
        <v>16</v>
      </c>
    </row>
    <row r="96" spans="2:3">
      <c r="B96" s="55"/>
      <c r="C96" s="170" t="s">
        <v>71</v>
      </c>
    </row>
    <row r="97" spans="2:3">
      <c r="B97" s="55"/>
      <c r="C97" s="171" t="s">
        <v>15</v>
      </c>
    </row>
    <row r="98" spans="2:3">
      <c r="B98" s="55"/>
      <c r="C98" s="170" t="s">
        <v>70</v>
      </c>
    </row>
    <row r="99" spans="2:3">
      <c r="B99" s="55"/>
      <c r="C99" s="171" t="s">
        <v>14</v>
      </c>
    </row>
    <row r="100" spans="2:3">
      <c r="B100" s="55"/>
      <c r="C100" s="170" t="s">
        <v>101</v>
      </c>
    </row>
    <row r="101" spans="2:3">
      <c r="B101" s="55"/>
      <c r="C101" s="171" t="s">
        <v>17</v>
      </c>
    </row>
    <row r="102" spans="2:3">
      <c r="B102" s="55"/>
      <c r="C102" s="170" t="s">
        <v>79</v>
      </c>
    </row>
    <row r="103" spans="2:3">
      <c r="B103" s="55"/>
      <c r="C103" s="170" t="s">
        <v>78</v>
      </c>
    </row>
    <row r="104" spans="2:3">
      <c r="B104" s="55"/>
      <c r="C104" s="170" t="s">
        <v>84</v>
      </c>
    </row>
    <row r="105" spans="2:3">
      <c r="B105" s="55"/>
      <c r="C105" s="170" t="s">
        <v>77</v>
      </c>
    </row>
    <row r="106" spans="2:3">
      <c r="C106" s="170" t="s">
        <v>46</v>
      </c>
    </row>
    <row r="107" spans="2:3">
      <c r="C107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P11" sqref="P1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4" sqref="C1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27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(janeiro-junho)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(janeiro-junho)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(junho)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(janeiro-junho)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(janeiro-junho)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(janeiro-junho)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(janeiro-junho)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(janeiro-junho)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(janeiro-junho)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(janeiro-junho)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(janeiro-junho)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(junho)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junho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junho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junho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junho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QUADRO I - Execução orçamental consolidada (janeiro-junho)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588727.67711000016</v>
      </c>
      <c r="E5" s="57">
        <v>251863.61177999995</v>
      </c>
      <c r="F5" s="57">
        <v>171219.56390000001</v>
      </c>
      <c r="G5" s="57">
        <v>647139.54679000005</v>
      </c>
      <c r="H5" s="57">
        <v>19.516600476270618</v>
      </c>
    </row>
    <row r="6" spans="1:10" ht="11.25" customHeight="1">
      <c r="C6" s="68" t="str">
        <f>+IF(Índice!$D$2=1,"Impostos diretos","Direct taxes")</f>
        <v>Impostos diretos</v>
      </c>
      <c r="D6" s="56">
        <v>144875.80446000001</v>
      </c>
      <c r="E6" s="56">
        <v>0</v>
      </c>
      <c r="F6" s="56">
        <v>0</v>
      </c>
      <c r="G6" s="56">
        <v>144875.80446000001</v>
      </c>
      <c r="H6" s="56">
        <v>55.591571512948626</v>
      </c>
    </row>
    <row r="7" spans="1:10">
      <c r="C7" s="68" t="str">
        <f>+IF(Índice!$D$2=1,"Impostos indiretos","Indirect taxes")</f>
        <v>Impostos indiretos</v>
      </c>
      <c r="D7" s="56">
        <v>320836.97637000016</v>
      </c>
      <c r="E7" s="56">
        <v>0</v>
      </c>
      <c r="F7" s="56">
        <v>0</v>
      </c>
      <c r="G7" s="56">
        <v>320836.97637000016</v>
      </c>
      <c r="H7" s="56">
        <v>12.551283761516906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123014.89627999999</v>
      </c>
      <c r="E9" s="56">
        <v>251863.61177999995</v>
      </c>
      <c r="F9" s="56">
        <v>171219.56390000001</v>
      </c>
      <c r="G9" s="56">
        <v>169283.89901000005</v>
      </c>
      <c r="H9" s="56">
        <v>6.0304866953744485</v>
      </c>
    </row>
    <row r="10" spans="1:10">
      <c r="C10" s="69" t="str">
        <f>+IF(Índice!$D$2=1,"Transferências correntes","Current transfers")</f>
        <v>Transferências correntes</v>
      </c>
      <c r="D10" s="56">
        <v>97501.542559999987</v>
      </c>
      <c r="E10" s="56">
        <v>247352.83455999993</v>
      </c>
      <c r="F10" s="56">
        <v>150455.64390999998</v>
      </c>
      <c r="G10" s="56">
        <v>118495.84807999997</v>
      </c>
      <c r="H10" s="56">
        <v>0.92380392236939279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97186.795599999998</v>
      </c>
      <c r="E11" s="56">
        <v>871.60626000000002</v>
      </c>
      <c r="F11" s="56">
        <v>640.96438999999998</v>
      </c>
      <c r="G11" s="56">
        <v>98699.366249999992</v>
      </c>
      <c r="H11" s="56">
        <v>-1.263292139254657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228699.08935999993</v>
      </c>
      <c r="F12" s="56">
        <v>148115.08358999999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12142.866949999867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38473.86275</v>
      </c>
      <c r="E14" s="57">
        <v>17619.839569999996</v>
      </c>
      <c r="F14" s="57">
        <v>12694.254460000006</v>
      </c>
      <c r="G14" s="57">
        <v>52402.121930000008</v>
      </c>
      <c r="H14" s="57">
        <v>-44.002905150561233</v>
      </c>
    </row>
    <row r="15" spans="1:10">
      <c r="C15" s="68" t="str">
        <f>+IF(Índice!$D$2=1,"Venda de bens de investimento","Sale of investment goods")</f>
        <v>Venda de bens de investimento</v>
      </c>
      <c r="D15" s="56">
        <v>7562.0000199999995</v>
      </c>
      <c r="E15" s="56">
        <v>0</v>
      </c>
      <c r="F15" s="56">
        <v>34.570140000000002</v>
      </c>
      <c r="G15" s="56">
        <v>7596.5701599999993</v>
      </c>
      <c r="H15" s="56">
        <v>151.56391851627023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28699.593080000002</v>
      </c>
      <c r="E16" s="56">
        <v>17587.966869999997</v>
      </c>
      <c r="F16" s="56">
        <v>12630.280960000006</v>
      </c>
      <c r="G16" s="56">
        <v>42532.00606</v>
      </c>
      <c r="H16" s="56">
        <v>-48.985745469659356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22654.4905</v>
      </c>
      <c r="E17" s="56">
        <v>145.84802999999999</v>
      </c>
      <c r="F17" s="56">
        <v>0</v>
      </c>
      <c r="G17" s="56">
        <v>22800.338530000001</v>
      </c>
      <c r="H17" s="56">
        <v>-4.6946992941871102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11622.28746</v>
      </c>
      <c r="F18" s="56">
        <v>4763.5473899999997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627201.53986000014</v>
      </c>
      <c r="E20" s="57">
        <v>269483.45134999993</v>
      </c>
      <c r="F20" s="57">
        <v>183913.81836</v>
      </c>
      <c r="G20" s="57">
        <v>699541.66872000007</v>
      </c>
      <c r="H20" s="57">
        <v>10.156370568756179</v>
      </c>
    </row>
    <row r="21" spans="3:8" ht="20.25" customHeight="1">
      <c r="C21" s="220" t="str">
        <f>+IF(Índice!$D$2=1,"Despesa corrente","Current expenditure")</f>
        <v>Despesa corrente</v>
      </c>
      <c r="D21" s="220">
        <v>608576.08899999992</v>
      </c>
      <c r="E21" s="220">
        <v>242093.60602999994</v>
      </c>
      <c r="F21" s="220">
        <v>170941.04775000023</v>
      </c>
      <c r="G21" s="220">
        <v>656939.41785999993</v>
      </c>
      <c r="H21" s="220">
        <v>7.586314818315576</v>
      </c>
    </row>
    <row r="22" spans="3:8" ht="10.5" customHeight="1">
      <c r="C22" s="68" t="str">
        <f>+IF(Índice!$D$2=1,"Consumo público","Public consumption")</f>
        <v>Consumo público</v>
      </c>
      <c r="D22" s="56">
        <v>288023.54815999966</v>
      </c>
      <c r="E22" s="56">
        <v>79987.730720000007</v>
      </c>
      <c r="F22" s="56">
        <v>160423.53995000024</v>
      </c>
      <c r="G22" s="56">
        <v>528434.81882999989</v>
      </c>
      <c r="H22" s="56">
        <v>8.8712098886685187</v>
      </c>
    </row>
    <row r="23" spans="3:8">
      <c r="C23" s="69" t="str">
        <f>+IF(Índice!$D$2=1,"Despesas com o pessoal","Compensation of employees")</f>
        <v>Despesas com o pessoal</v>
      </c>
      <c r="D23" s="56">
        <v>211636.75334999961</v>
      </c>
      <c r="E23" s="56">
        <v>25091.412690000016</v>
      </c>
      <c r="F23" s="56">
        <v>122774.92159000017</v>
      </c>
      <c r="G23" s="56">
        <v>359503.08762999979</v>
      </c>
      <c r="H23" s="56">
        <v>9.1018851702079129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76386.794810000021</v>
      </c>
      <c r="E24" s="56">
        <v>54896.318029999988</v>
      </c>
      <c r="F24" s="56">
        <v>37648.618360000073</v>
      </c>
      <c r="G24" s="56">
        <v>168931.7312000001</v>
      </c>
      <c r="H24" s="56">
        <v>8.3835426968496449</v>
      </c>
    </row>
    <row r="25" spans="3:8">
      <c r="C25" s="68" t="str">
        <f>+IF(Índice!$D$2=1,"Subsídios","Subsidies")</f>
        <v>Subsídios</v>
      </c>
      <c r="D25" s="56">
        <v>11718.367489999999</v>
      </c>
      <c r="E25" s="56">
        <v>2567.9358199999997</v>
      </c>
      <c r="F25" s="56">
        <v>0.80500000000000005</v>
      </c>
      <c r="G25" s="56">
        <v>14287.089389999997</v>
      </c>
      <c r="H25" s="56">
        <v>-3.7824057981163839</v>
      </c>
    </row>
    <row r="26" spans="3:8">
      <c r="C26" s="68" t="str">
        <f>+IF(Índice!$D$2=1,"Juros e outros encargos","Interests and other charges")</f>
        <v>Juros e outros encargos</v>
      </c>
      <c r="D26" s="56">
        <v>51833.100589999995</v>
      </c>
      <c r="E26" s="56">
        <v>135.80265000000003</v>
      </c>
      <c r="F26" s="56">
        <v>4001.8361600000003</v>
      </c>
      <c r="G26" s="56">
        <v>55970.739399999991</v>
      </c>
      <c r="H26" s="56">
        <v>20.637990990678556</v>
      </c>
    </row>
    <row r="27" spans="3:8">
      <c r="C27" s="68" t="str">
        <f>+IF(Índice!$D$2=1,"Transferências correntes","Current transfers")</f>
        <v>Transferências correntes</v>
      </c>
      <c r="D27" s="56">
        <v>257001.07276000024</v>
      </c>
      <c r="E27" s="56">
        <v>159402.13683999993</v>
      </c>
      <c r="F27" s="56">
        <v>6514.8666400000066</v>
      </c>
      <c r="G27" s="56">
        <v>58246.770240000158</v>
      </c>
      <c r="H27" s="56">
        <v>-8.9833374058606807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881.32807000000003</v>
      </c>
      <c r="F28" s="56">
        <v>0</v>
      </c>
      <c r="G28" s="56">
        <v>881.32807000000003</v>
      </c>
      <c r="H28" s="56">
        <v>-15.630653083146228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220130.94297000003</v>
      </c>
      <c r="E29" s="56">
        <v>144488.87407000002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57525.319939999972</v>
      </c>
      <c r="E31" s="57">
        <v>15055.477429999995</v>
      </c>
      <c r="F31" s="57">
        <v>12832.152109999994</v>
      </c>
      <c r="G31" s="57">
        <v>69027.114629999953</v>
      </c>
      <c r="H31" s="57">
        <v>-20.203201666755067</v>
      </c>
    </row>
    <row r="32" spans="3:8">
      <c r="C32" s="68" t="str">
        <f>+IF(Índice!$D$2=1,"Investimento","Investment")</f>
        <v>Investimento</v>
      </c>
      <c r="D32" s="56">
        <v>35426.538939999977</v>
      </c>
      <c r="E32" s="56">
        <v>2016.6082499999991</v>
      </c>
      <c r="F32" s="56">
        <v>12832.152109999994</v>
      </c>
      <c r="G32" s="56">
        <v>50275.29929999997</v>
      </c>
      <c r="H32" s="56">
        <v>35.490204003109874</v>
      </c>
    </row>
    <row r="33" spans="3:8">
      <c r="C33" s="68" t="str">
        <f>+IF(Índice!$D$2=1,"Transferências capital","Capital transfers")</f>
        <v>Transferências capital</v>
      </c>
      <c r="D33" s="56">
        <v>22098.780999999999</v>
      </c>
      <c r="E33" s="56">
        <v>13030.613569999996</v>
      </c>
      <c r="F33" s="56">
        <v>0</v>
      </c>
      <c r="G33" s="56">
        <v>17690.423769999998</v>
      </c>
      <c r="H33" s="56">
        <v>-64.187533269407197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3863.1847599999996</v>
      </c>
      <c r="E34" s="56">
        <v>0</v>
      </c>
      <c r="F34" s="56">
        <v>0</v>
      </c>
      <c r="G34" s="56">
        <v>3863.1847599999996</v>
      </c>
      <c r="H34" s="56">
        <v>20.985108660523832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17430.715189999999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666101.40893999988</v>
      </c>
      <c r="E38" s="86">
        <v>257149.08345999994</v>
      </c>
      <c r="F38" s="86">
        <v>183773.19986000023</v>
      </c>
      <c r="G38" s="86">
        <v>725966.5324899999</v>
      </c>
      <c r="H38" s="86">
        <v>4.1379925587645472</v>
      </c>
    </row>
    <row r="39" spans="3:8" ht="17.25" customHeight="1">
      <c r="C39" s="138" t="str">
        <f>+IF(Índice!$D$2=1,"Saldo global","Overall balance")</f>
        <v>Saldo global</v>
      </c>
      <c r="D39" s="139">
        <v>-38899.869079999742</v>
      </c>
      <c r="E39" s="139">
        <v>12334.367889999994</v>
      </c>
      <c r="F39" s="139">
        <v>140.61849999977858</v>
      </c>
      <c r="G39" s="139">
        <v>-26424.863769999822</v>
      </c>
      <c r="H39" s="139">
        <v>57.431120309967795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-19848.411889999756</v>
      </c>
      <c r="E41" s="19">
        <v>9770.0057500000112</v>
      </c>
      <c r="F41" s="19">
        <v>278.51614999977755</v>
      </c>
      <c r="G41" s="19">
        <v>-9799.8710699998774</v>
      </c>
      <c r="H41" s="19">
        <v>85.828507174706743</v>
      </c>
    </row>
    <row r="42" spans="3:8">
      <c r="C42" s="68" t="str">
        <f>+IF(Índice!$D$2=1,"Despesa corrente primária","Primary current expenditure")</f>
        <v>Despesa corrente primária</v>
      </c>
      <c r="D42" s="19">
        <v>556742.98840999987</v>
      </c>
      <c r="E42" s="19">
        <v>241957.80337999994</v>
      </c>
      <c r="F42" s="19">
        <v>166939.21159000022</v>
      </c>
      <c r="G42" s="19">
        <v>600968.67845999997</v>
      </c>
      <c r="H42" s="19">
        <v>6.5130810044488729</v>
      </c>
    </row>
    <row r="43" spans="3:8">
      <c r="C43" s="68" t="str">
        <f>+IF(Índice!$D$2=1,"Saldo corrente primário","Primary current balance")</f>
        <v>Saldo corrente primário</v>
      </c>
      <c r="D43" s="19">
        <v>31984.68870000029</v>
      </c>
      <c r="E43" s="19">
        <v>9905.808400000009</v>
      </c>
      <c r="F43" s="19">
        <v>4280.3523099997838</v>
      </c>
      <c r="G43" s="19">
        <v>46170.868330000085</v>
      </c>
      <c r="H43" s="19">
        <v>302.89191765557479</v>
      </c>
    </row>
    <row r="44" spans="3:8">
      <c r="C44" s="68" t="str">
        <f>+IF(Índice!$D$2=1,"Saldo de capital","Capital balance")</f>
        <v>Saldo de capital</v>
      </c>
      <c r="D44" s="19">
        <v>-19051.457189999972</v>
      </c>
      <c r="E44" s="19">
        <v>2564.3621400000011</v>
      </c>
      <c r="F44" s="19">
        <v>-137.89764999998806</v>
      </c>
      <c r="G44" s="19">
        <v>-16624.992699999944</v>
      </c>
      <c r="H44" s="19">
        <v>-334.93380837021925</v>
      </c>
    </row>
    <row r="45" spans="3:8">
      <c r="C45" s="68" t="str">
        <f t="array" ref="C45">+IF(Índice!$D$2=1,"Despesa primária","Primary expenditure")</f>
        <v>Despesa primária</v>
      </c>
      <c r="D45" s="19">
        <v>614268.30834999983</v>
      </c>
      <c r="E45" s="19">
        <v>257013.28080999994</v>
      </c>
      <c r="F45" s="19">
        <v>179771.36370000022</v>
      </c>
      <c r="G45" s="19">
        <v>669995.79308999993</v>
      </c>
      <c r="H45" s="19">
        <v>2.9615684263433861</v>
      </c>
    </row>
    <row r="46" spans="3:8">
      <c r="C46" s="221" t="str">
        <f>+IF(Índice!$D$2=1,"Saldo primário","Primary balance")</f>
        <v>Saldo primário</v>
      </c>
      <c r="D46" s="132">
        <v>12933.231510000303</v>
      </c>
      <c r="E46" s="132">
        <v>12470.170539999992</v>
      </c>
      <c r="F46" s="132">
        <v>4142.4546599997848</v>
      </c>
      <c r="G46" s="132">
        <v>29545.875630000141</v>
      </c>
      <c r="H46" s="132">
        <v>288.43119439806293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QUADRO II - Execução orçamental do Gov. Regional (janeiro-junho)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499255.58796999999</v>
      </c>
      <c r="E5" s="225">
        <v>588727.67711000016</v>
      </c>
      <c r="F5" s="225">
        <v>17.921099191658229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378171.36510999996</v>
      </c>
      <c r="E6" s="231">
        <v>465712.78083000018</v>
      </c>
      <c r="F6" s="231">
        <v>23.148610338209185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93112.887189999994</v>
      </c>
      <c r="E7" s="231">
        <v>144875.80446000001</v>
      </c>
      <c r="F7" s="231">
        <v>55.591571512948626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285058.47791999998</v>
      </c>
      <c r="E8" s="231">
        <v>320836.97637000016</v>
      </c>
      <c r="F8" s="231">
        <v>12.551283761516906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121084.22286000001</v>
      </c>
      <c r="E9" s="231">
        <v>123014.89627999999</v>
      </c>
      <c r="F9" s="231">
        <v>1.5944880137127804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57944.25866</v>
      </c>
      <c r="E10" s="232">
        <v>38473.86275</v>
      </c>
      <c r="F10" s="232">
        <v>-33.601941521500166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557199.84663000004</v>
      </c>
      <c r="E12" s="232">
        <v>627201.53986000014</v>
      </c>
      <c r="F12" s="232">
        <v>12.563121410276267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553806.85105000017</v>
      </c>
      <c r="E14" s="232">
        <v>608576.0889999998</v>
      </c>
      <c r="F14" s="232">
        <v>9.8895919843098525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195230.78501000008</v>
      </c>
      <c r="E15" s="231">
        <v>211636.75334999964</v>
      </c>
      <c r="F15" s="231">
        <v>8.4033715989817903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70708.151060000062</v>
      </c>
      <c r="E16" s="231">
        <v>75982.532190000027</v>
      </c>
      <c r="F16" s="231">
        <v>7.4593679101074839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43411.993989999995</v>
      </c>
      <c r="E17" s="231">
        <v>51833.100589999995</v>
      </c>
      <c r="F17" s="231">
        <v>19.398110581927686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233601.06443</v>
      </c>
      <c r="E18" s="231">
        <v>257001.07276000004</v>
      </c>
      <c r="F18" s="231">
        <v>10.017081209410318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199442.80468</v>
      </c>
      <c r="E19" s="231">
        <v>220130.94297000003</v>
      </c>
      <c r="F19" s="231">
        <v>10.372967991095749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34158.259749999997</v>
      </c>
      <c r="E20" s="231">
        <v>36870.129789999999</v>
      </c>
      <c r="F20" s="231">
        <v>7.9391340772271057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10437.632270000002</v>
      </c>
      <c r="E21" s="231">
        <v>11718.367489999999</v>
      </c>
      <c r="F21" s="231">
        <v>12.270361580768707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417.22428999999994</v>
      </c>
      <c r="E22" s="231">
        <v>404.26261999999991</v>
      </c>
      <c r="F22" s="231">
        <v>-3.1066431918429394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82576.49576000002</v>
      </c>
      <c r="E23" s="232">
        <v>57525.319939999972</v>
      </c>
      <c r="F23" s="232">
        <v>-30.336932548952767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31619.231139999993</v>
      </c>
      <c r="E24" s="231">
        <v>35426.538939999977</v>
      </c>
      <c r="F24" s="231">
        <v>12.041114419077514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50957.264620000024</v>
      </c>
      <c r="E25" s="231">
        <v>22098.780999999999</v>
      </c>
      <c r="F25" s="231">
        <v>-56.632717307736854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42980.195570000025</v>
      </c>
      <c r="E26" s="231">
        <v>21293.899949999999</v>
      </c>
      <c r="F26" s="231">
        <v>-50.456484276997941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7977.0690499999982</v>
      </c>
      <c r="E27" s="231">
        <v>804.88104999999996</v>
      </c>
      <c r="F27" s="231">
        <v>-89.910065401778098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636383.34681000025</v>
      </c>
      <c r="E29" s="235">
        <v>666101.40893999976</v>
      </c>
      <c r="F29" s="235">
        <v>4.6698365504011408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-79183.500180000206</v>
      </c>
      <c r="E31" s="139">
        <v>-38899.869079999611</v>
      </c>
      <c r="F31" s="139">
        <v>50.873769167096313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-54551.263080000179</v>
      </c>
      <c r="E33" s="19">
        <v>-19848.411889999639</v>
      </c>
      <c r="F33" s="19">
        <v>63.615119486982977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-24632.23710000002</v>
      </c>
      <c r="E34" s="19">
        <v>-19051.457189999972</v>
      </c>
      <c r="F34" s="19">
        <v>22.656407078835905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-35771.506190000211</v>
      </c>
      <c r="E35" s="19">
        <v>12933.231510000383</v>
      </c>
      <c r="F35" s="19">
        <v>136.15512145702107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25304.451589999997</v>
      </c>
      <c r="E36" s="106">
        <v>16417.376259999997</v>
      </c>
      <c r="F36" s="106">
        <v>-35.120600414482247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4" zoomScale="130" zoomScaleNormal="130" workbookViewId="0">
      <selection activeCell="I21" sqref="I2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QUADRO III - Execução orçamental do Gov. Regional (junho)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72976.690819999945</v>
      </c>
      <c r="E5" s="225">
        <v>113431.23371000023</v>
      </c>
      <c r="F5" s="225">
        <v>55.434882611741209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62332.757729999932</v>
      </c>
      <c r="E6" s="231">
        <v>99929.498980000237</v>
      </c>
      <c r="F6" s="231">
        <v>60.316184650218815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12608.715439999998</v>
      </c>
      <c r="E7" s="231">
        <v>44939.056280000004</v>
      </c>
      <c r="F7" s="231">
        <v>256.41264563267845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49724.042289999932</v>
      </c>
      <c r="E8" s="231">
        <v>54990.442700000225</v>
      </c>
      <c r="F8" s="231">
        <v>10.591255592788817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10643.933090000008</v>
      </c>
      <c r="E9" s="231">
        <v>13501.734729999993</v>
      </c>
      <c r="F9" s="231">
        <v>26.849113159917316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23563.90251</v>
      </c>
      <c r="E10" s="232">
        <v>7524.8201399999971</v>
      </c>
      <c r="F10" s="232">
        <v>-68.066324596247881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96540.593329999945</v>
      </c>
      <c r="E12" s="232">
        <v>120956.05385000023</v>
      </c>
      <c r="F12" s="232">
        <v>25.290356810364866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109432.87968000003</v>
      </c>
      <c r="E14" s="232">
        <v>157800.91402999958</v>
      </c>
      <c r="F14" s="232">
        <v>44.198813456646427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51322.940659999906</v>
      </c>
      <c r="E15" s="231">
        <v>55318.895119999557</v>
      </c>
      <c r="F15" s="231">
        <v>7.7859031626261066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3509.9316699999868</v>
      </c>
      <c r="E16" s="231">
        <v>10653.402900000117</v>
      </c>
      <c r="F16" s="231">
        <v>203.5216608647016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9606.4447899999996</v>
      </c>
      <c r="E17" s="231">
        <v>13173.24228</v>
      </c>
      <c r="F17" s="231">
        <v>37.12921448018858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43542.738670000137</v>
      </c>
      <c r="E18" s="231">
        <v>75167.959889999896</v>
      </c>
      <c r="F18" s="231">
        <v>72.630298841971424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1372.2338200000004</v>
      </c>
      <c r="E19" s="231">
        <v>3455.8193699999974</v>
      </c>
      <c r="F19" s="231">
        <v>151.8389591942863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78.590070000000011</v>
      </c>
      <c r="E20" s="231">
        <v>31.59447000000009</v>
      </c>
      <c r="F20" s="231">
        <v>-59.79839437730481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9458.6498300000057</v>
      </c>
      <c r="E21" s="232">
        <v>13580.011529999989</v>
      </c>
      <c r="F21" s="232">
        <v>43.572410165013807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3061.4634900000019</v>
      </c>
      <c r="E22" s="231">
        <v>7511.76295999999</v>
      </c>
      <c r="F22" s="231">
        <v>145.36510020571845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6397.1863400000038</v>
      </c>
      <c r="E23" s="231">
        <v>6068.2485699999988</v>
      </c>
      <c r="F23" s="231">
        <v>-5.141913218053995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118891.52951000004</v>
      </c>
      <c r="E25" s="300">
        <v>171380.92555999957</v>
      </c>
      <c r="F25" s="300">
        <v>44.148978708852951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-22350.936180000092</v>
      </c>
      <c r="E27" s="287">
        <v>-50424.871709999337</v>
      </c>
      <c r="F27" s="287">
        <v>-125.60518854293079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-36456.188860000082</v>
      </c>
      <c r="E29" s="19">
        <v>-44369.680319999345</v>
      </c>
      <c r="F29" s="19">
        <v>-21.706853369640044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14105.252679999994</v>
      </c>
      <c r="E30" s="19">
        <v>-6055.1913899999918</v>
      </c>
      <c r="F30" s="19">
        <v>-142.9286275642954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-12744.491390000092</v>
      </c>
      <c r="E31" s="19">
        <v>-37251.629429999339</v>
      </c>
      <c r="F31" s="19">
        <v>-192.2959284136569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23" sqref="D2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QUADRO IV - Execução orçamental da receita fiscal do Gov. Reg. (janeiro-junho)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378171.36510999996</v>
      </c>
      <c r="E5" s="33">
        <v>465712.78083000018</v>
      </c>
      <c r="F5" s="270">
        <v>0.23148610338209186</v>
      </c>
      <c r="G5" s="270">
        <v>0.44088175809012292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93112.887189999994</v>
      </c>
      <c r="E7" s="70">
        <v>144875.80446000001</v>
      </c>
      <c r="F7" s="271">
        <v>0.55591571512948623</v>
      </c>
      <c r="G7" s="271">
        <v>0.382234825636733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73761.443349999987</v>
      </c>
      <c r="E8" s="70">
        <v>82791.932550000012</v>
      </c>
      <c r="F8" s="271">
        <v>0.12242831471111693</v>
      </c>
      <c r="G8" s="271">
        <v>0.34460463547305958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19351.443840000004</v>
      </c>
      <c r="E9" s="70">
        <v>62083.871909999994</v>
      </c>
      <c r="F9" s="271">
        <v>2.2082294439276313</v>
      </c>
      <c r="G9" s="271">
        <v>0.44738330747204003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285058.47791999998</v>
      </c>
      <c r="E11" s="70">
        <v>320836.97637000016</v>
      </c>
      <c r="F11" s="271">
        <v>0.12551283761516907</v>
      </c>
      <c r="G11" s="271">
        <v>0.47370118268342543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22872.28241</v>
      </c>
      <c r="E12" s="70">
        <v>14398.37198</v>
      </c>
      <c r="F12" s="271">
        <v>-0.37048818644767689</v>
      </c>
      <c r="G12" s="271">
        <v>0.27955832517862689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218028.09054</v>
      </c>
      <c r="E13" s="70">
        <v>257005.04204999999</v>
      </c>
      <c r="F13" s="271">
        <v>0.17877031997787074</v>
      </c>
      <c r="G13" s="271">
        <v>0.50231115090544809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2105.1893500000001</v>
      </c>
      <c r="E14" s="70">
        <v>3223.5707200000002</v>
      </c>
      <c r="F14" s="271">
        <v>0.53124977570307386</v>
      </c>
      <c r="G14" s="271">
        <v>0.62972664973627668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12108.452519999999</v>
      </c>
      <c r="E15" s="70">
        <v>14789.68045</v>
      </c>
      <c r="F15" s="271">
        <v>0.22143440093367128</v>
      </c>
      <c r="G15" s="271">
        <v>0.39439147866666668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3867.1173400000002</v>
      </c>
      <c r="E16" s="70">
        <v>3815.0122099999999</v>
      </c>
      <c r="F16" s="271">
        <v>-1.3473894226338712E-2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26077.345760000004</v>
      </c>
      <c r="E17" s="70">
        <v>27605.298959999993</v>
      </c>
      <c r="F17" s="271">
        <v>5.8593125775235677E-2</v>
      </c>
      <c r="G17" s="271">
        <v>0.45636036899373927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14103.31652</v>
      </c>
      <c r="E18" s="70">
        <v>15702.176359999999</v>
      </c>
      <c r="F18" s="271">
        <v>0.11336764921446996</v>
      </c>
      <c r="G18" s="271">
        <v>0.46062464365208172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2789.04576</v>
      </c>
      <c r="E19" s="70">
        <v>2017.91083</v>
      </c>
      <c r="F19" s="271">
        <v>-0.2764870125329173</v>
      </c>
      <c r="G19" s="271">
        <v>0.26394287254736792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179028.48152</v>
      </c>
      <c r="E21" s="33">
        <v>161488.75902999999</v>
      </c>
      <c r="F21" s="270">
        <v>-9.7971687750926795E-2</v>
      </c>
      <c r="G21" s="270">
        <v>0.30408040137776576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557199.84662999993</v>
      </c>
      <c r="E23" s="139">
        <v>627201.53986000014</v>
      </c>
      <c r="F23" s="274">
        <v>0.1256312141027629</v>
      </c>
      <c r="G23" s="274">
        <v>0.39511400615293185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QUADRO V - Execução orçamental da receita não fiscal do Gov. Reg. (janeiro-junho)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378171.36510999996</v>
      </c>
      <c r="E5" s="41">
        <v>465712.78083000018</v>
      </c>
      <c r="F5" s="276">
        <v>0.23148610338209186</v>
      </c>
      <c r="G5" s="42">
        <v>0.44088175809012292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179028.48152</v>
      </c>
      <c r="E7" s="41">
        <v>161488.75902999999</v>
      </c>
      <c r="F7" s="276">
        <v>-9.7971687750926795E-2</v>
      </c>
      <c r="G7" s="42">
        <v>0.30408040137776576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121084.22286000001</v>
      </c>
      <c r="E8" s="41">
        <v>123014.89627999999</v>
      </c>
      <c r="F8" s="276">
        <v>1.5944880137127804E-2</v>
      </c>
      <c r="G8" s="42">
        <v>0.4550053373060623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8892.3361199999999</v>
      </c>
      <c r="E10" s="71">
        <v>9360.6082699999988</v>
      </c>
      <c r="F10" s="278">
        <v>5.2660194540644412E-2</v>
      </c>
      <c r="G10" s="43">
        <v>0.38860305739327383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7799.7321199999997</v>
      </c>
      <c r="E11" s="71">
        <v>6019.9244100000005</v>
      </c>
      <c r="F11" s="278">
        <v>-0.22818831244681248</v>
      </c>
      <c r="G11" s="43">
        <v>0.69505695266579637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99355.624050000013</v>
      </c>
      <c r="E12" s="71">
        <v>97501.542559999987</v>
      </c>
      <c r="F12" s="278">
        <v>-1.8661062297459563E-2</v>
      </c>
      <c r="G12" s="43">
        <v>0.50004847090597071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4258.9390599999997</v>
      </c>
      <c r="E13" s="47">
        <v>5189.413779999999</v>
      </c>
      <c r="F13" s="278">
        <v>0.21847570648263726</v>
      </c>
      <c r="G13" s="43">
        <v>0.53045153987340488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777.59150999999997</v>
      </c>
      <c r="E14" s="71">
        <v>4943.40726</v>
      </c>
      <c r="F14" s="278">
        <v>5.3573318335227196</v>
      </c>
      <c r="G14" s="43">
        <v>0.15051562074540289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57944.25866</v>
      </c>
      <c r="E17" s="41">
        <v>38473.86275</v>
      </c>
      <c r="F17" s="276">
        <v>-0.33601941521500167</v>
      </c>
      <c r="G17" s="42">
        <v>0.14757152250382841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2793.2911800000002</v>
      </c>
      <c r="E18" s="71">
        <v>7562.0000199999995</v>
      </c>
      <c r="F18" s="278">
        <v>1.7072007652277765</v>
      </c>
      <c r="G18" s="43">
        <v>0.27855825365119619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48254.095119999998</v>
      </c>
      <c r="E19" s="44">
        <v>28699.593079999999</v>
      </c>
      <c r="F19" s="278">
        <v>-0.40524025974108868</v>
      </c>
      <c r="G19" s="43">
        <v>0.12774602864125265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2.4432</v>
      </c>
      <c r="F20" s="278">
        <v>0.77470436121684028</v>
      </c>
      <c r="G20" s="43">
        <v>1.1802898550724639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6895.4956800000009</v>
      </c>
      <c r="E21" s="47">
        <v>2209.82645</v>
      </c>
      <c r="F21" s="278">
        <v>-0.67952609173413336</v>
      </c>
      <c r="G21" s="43">
        <v>0.24821143996405706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557199.84662999993</v>
      </c>
      <c r="E23" s="287">
        <v>627201.53986000014</v>
      </c>
      <c r="F23" s="288">
        <v>0.1256312141027629</v>
      </c>
      <c r="G23" s="288">
        <v>0.39511400615293185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QUADRO VI - Execução orçamental das despesas do Governo Regional (janeiro-junho)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2022</v>
      </c>
      <c r="E3" s="328">
        <v>2023</v>
      </c>
      <c r="F3" s="153">
        <v>2022</v>
      </c>
      <c r="G3" s="153">
        <v>2023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553806.85105000017</v>
      </c>
      <c r="E5" s="253">
        <v>608576.0889999998</v>
      </c>
      <c r="F5" s="253">
        <v>43.499022057784323</v>
      </c>
      <c r="G5" s="253">
        <v>43.617251165872887</v>
      </c>
      <c r="H5" s="253">
        <v>9.8895919843098543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195230.78501000008</v>
      </c>
      <c r="E6" s="74">
        <v>211636.75334999964</v>
      </c>
      <c r="F6" s="74">
        <v>46.249507094596844</v>
      </c>
      <c r="G6" s="74">
        <v>47.566179625851568</v>
      </c>
      <c r="H6" s="254">
        <v>8.4033715989817956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165170.71131000004</v>
      </c>
      <c r="E7" s="75">
        <v>178718.33145999964</v>
      </c>
      <c r="F7" s="75">
        <v>48.7437797013514</v>
      </c>
      <c r="G7" s="75">
        <v>50.480164269501557</v>
      </c>
      <c r="H7" s="254">
        <v>8.2021927753115946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1611.5156600000003</v>
      </c>
      <c r="E8" s="75">
        <v>2217.6932199999992</v>
      </c>
      <c r="F8" s="75">
        <v>25.836676276566312</v>
      </c>
      <c r="G8" s="75">
        <v>29.009772073041475</v>
      </c>
      <c r="H8" s="254">
        <v>37.615368875782373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28448.558039999978</v>
      </c>
      <c r="E9" s="75">
        <v>30700.72867</v>
      </c>
      <c r="F9" s="75">
        <v>36.930426287643897</v>
      </c>
      <c r="G9" s="75">
        <v>36.877854926874996</v>
      </c>
      <c r="H9" s="254">
        <v>7.9166424773915338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70708.151060000062</v>
      </c>
      <c r="E10" s="75">
        <v>75982.532190000027</v>
      </c>
      <c r="F10" s="75">
        <v>37.15897306035918</v>
      </c>
      <c r="G10" s="75">
        <v>38.094483478931011</v>
      </c>
      <c r="H10" s="254">
        <v>7.4593679101074786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43411.993989999995</v>
      </c>
      <c r="E11" s="75">
        <v>51833.100589999995</v>
      </c>
      <c r="F11" s="75">
        <v>42.971579985590871</v>
      </c>
      <c r="G11" s="75">
        <v>34.734767490743899</v>
      </c>
      <c r="H11" s="254">
        <v>19.398110581927682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233601.06443</v>
      </c>
      <c r="E12" s="74">
        <v>257001.07276000004</v>
      </c>
      <c r="F12" s="74">
        <v>45.191923270886733</v>
      </c>
      <c r="G12" s="74">
        <v>44.880721007414934</v>
      </c>
      <c r="H12" s="254">
        <v>10.017081209410327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199442.80468</v>
      </c>
      <c r="E13" s="74">
        <v>220130.94297000003</v>
      </c>
      <c r="F13" s="74">
        <v>48.915953605999348</v>
      </c>
      <c r="G13" s="74">
        <v>48.126568053252242</v>
      </c>
      <c r="H13" s="254">
        <v>10.372967991095758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51.478430000000003</v>
      </c>
      <c r="E14" s="75">
        <v>0</v>
      </c>
      <c r="F14" s="74">
        <v>29.495969105066845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199391.32625000001</v>
      </c>
      <c r="E15" s="75">
        <v>220130.94297000003</v>
      </c>
      <c r="F15" s="75">
        <v>48.924269895394112</v>
      </c>
      <c r="G15" s="75">
        <v>48.153624829245736</v>
      </c>
      <c r="H15" s="254">
        <v>10.401463850035462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34158.259749999997</v>
      </c>
      <c r="E18" s="75">
        <v>36870.129789999999</v>
      </c>
      <c r="F18" s="72">
        <v>31.285212311204365</v>
      </c>
      <c r="G18" s="72">
        <v>31.996629136178928</v>
      </c>
      <c r="H18" s="77">
        <v>7.9391340772271102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10437.632270000002</v>
      </c>
      <c r="E19" s="72">
        <v>11718.367489999999</v>
      </c>
      <c r="F19" s="72">
        <v>29.048820687095894</v>
      </c>
      <c r="G19" s="72">
        <v>49.663421947424872</v>
      </c>
      <c r="H19" s="77">
        <v>12.270361580768705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417.22428999999994</v>
      </c>
      <c r="E20" s="72">
        <v>404.26261999999991</v>
      </c>
      <c r="F20" s="72">
        <v>6.0713247450141123</v>
      </c>
      <c r="G20" s="72">
        <v>7.4544851734595783</v>
      </c>
      <c r="H20" s="77">
        <v>-3.1066431918429362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510394.85706000018</v>
      </c>
      <c r="E22" s="78">
        <v>556742.98840999976</v>
      </c>
      <c r="F22" s="78">
        <v>43.544482119522158</v>
      </c>
      <c r="G22" s="78">
        <v>44.681015660725869</v>
      </c>
      <c r="H22" s="76">
        <v>9.0808382390402986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82576.49576000002</v>
      </c>
      <c r="E24" s="78">
        <v>57525.319939999972</v>
      </c>
      <c r="F24" s="78">
        <v>26.32184601734749</v>
      </c>
      <c r="G24" s="78">
        <v>17.84448348484479</v>
      </c>
      <c r="H24" s="76">
        <v>-30.336932548952767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31619.231139999993</v>
      </c>
      <c r="E25" s="72">
        <v>35426.538939999977</v>
      </c>
      <c r="F25" s="72">
        <v>17.878170187774593</v>
      </c>
      <c r="G25" s="72">
        <v>16.062169589057316</v>
      </c>
      <c r="H25" s="77">
        <v>12.041114419077505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50957.264620000024</v>
      </c>
      <c r="E26" s="59">
        <v>22098.780999999999</v>
      </c>
      <c r="F26" s="59">
        <v>37.503339488818391</v>
      </c>
      <c r="G26" s="59">
        <v>21.705592227861416</v>
      </c>
      <c r="H26" s="77">
        <v>-56.632717307736854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42980.195570000025</v>
      </c>
      <c r="E27" s="59">
        <v>21293.899949999999</v>
      </c>
      <c r="F27" s="59">
        <v>34.896554004518073</v>
      </c>
      <c r="G27" s="59">
        <v>24.180101965018949</v>
      </c>
      <c r="H27" s="77">
        <v>-50.456484276997941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2693.1076500000004</v>
      </c>
      <c r="E28" s="72">
        <v>3124.1743099999994</v>
      </c>
      <c r="F28" s="72">
        <v>47.047928619982017</v>
      </c>
      <c r="G28" s="72">
        <v>61.300364642258529</v>
      </c>
      <c r="H28" s="77">
        <v>16.006291467776975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39787.087920000027</v>
      </c>
      <c r="E29" s="72">
        <v>17430.715189999999</v>
      </c>
      <c r="F29" s="72">
        <v>35.04941904309036</v>
      </c>
      <c r="G29" s="72">
        <v>22.420545470904425</v>
      </c>
      <c r="H29" s="77">
        <v>-56.190020176777026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636383.34681000025</v>
      </c>
      <c r="E33" s="142">
        <v>666101.40893999976</v>
      </c>
      <c r="F33" s="143">
        <v>40.103148324968359</v>
      </c>
      <c r="G33" s="143">
        <v>38.780149189590638</v>
      </c>
      <c r="H33" s="141">
        <v>4.6698365504011514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25304.451589999997</v>
      </c>
      <c r="E36" s="150">
        <v>16417.376259999997</v>
      </c>
      <c r="F36" s="150">
        <v>49.165923637302541</v>
      </c>
      <c r="G36" s="150">
        <v>15.997389592210382</v>
      </c>
      <c r="H36" s="128">
        <v>-35.120600414482247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355172.54488</v>
      </c>
      <c r="E37" s="150">
        <v>124808.87878</v>
      </c>
      <c r="F37" s="150">
        <v>70.821663107772494</v>
      </c>
      <c r="G37" s="150">
        <v>48.105249843880081</v>
      </c>
      <c r="H37" s="128">
        <v>-64.85964904123756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2023-07-31T13:01:05Z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